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75" windowWidth="10455" windowHeight="5520" activeTab="1"/>
  </bookViews>
  <sheets>
    <sheet name="2011" sheetId="1" r:id="rId1"/>
    <sheet name="2012" sheetId="3" r:id="rId2"/>
  </sheets>
  <calcPr calcId="125725"/>
</workbook>
</file>

<file path=xl/calcChain.xml><?xml version="1.0" encoding="utf-8"?>
<calcChain xmlns="http://schemas.openxmlformats.org/spreadsheetml/2006/main">
  <c r="B4" i="3"/>
  <c r="F3"/>
  <c r="F4"/>
  <c r="B3"/>
  <c r="F2"/>
  <c r="B2"/>
  <c r="F183" i="1"/>
  <c r="F182"/>
  <c r="B182"/>
  <c r="F181"/>
  <c r="B181"/>
  <c r="F180"/>
  <c r="B179"/>
  <c r="F179" s="1"/>
  <c r="B178"/>
  <c r="F178" s="1"/>
  <c r="F177"/>
  <c r="F176"/>
  <c r="B176"/>
  <c r="F170"/>
  <c r="B170"/>
  <c r="F169"/>
  <c r="B169"/>
  <c r="F168"/>
  <c r="B168"/>
  <c r="F167"/>
  <c r="B167"/>
  <c r="F166"/>
  <c r="B166"/>
  <c r="F165"/>
  <c r="B165"/>
  <c r="F164"/>
  <c r="F163"/>
  <c r="B47" i="3"/>
  <c r="F47"/>
  <c r="B45"/>
  <c r="F45" s="1"/>
  <c r="B46"/>
  <c r="B49"/>
  <c r="F49" s="1"/>
  <c r="B48"/>
  <c r="F48" s="1"/>
  <c r="F46"/>
  <c r="B44"/>
  <c r="F44" s="1"/>
  <c r="B43"/>
  <c r="F43" s="1"/>
  <c r="B38"/>
  <c r="F38" s="1"/>
  <c r="B39"/>
  <c r="F39" s="1"/>
  <c r="B40"/>
  <c r="F40" s="1"/>
  <c r="B41"/>
  <c r="F41" s="1"/>
  <c r="B34"/>
  <c r="F34" s="1"/>
  <c r="B42"/>
  <c r="F42" s="1"/>
  <c r="B32"/>
  <c r="F32" s="1"/>
  <c r="B33"/>
  <c r="F33" s="1"/>
  <c r="B36"/>
  <c r="F36" s="1"/>
  <c r="B35"/>
  <c r="F35" s="1"/>
  <c r="B37"/>
  <c r="F37" s="1"/>
  <c r="B30"/>
  <c r="B5"/>
  <c r="B25"/>
  <c r="F25" s="1"/>
  <c r="B24"/>
  <c r="F24" s="1"/>
  <c r="B10"/>
  <c r="F10" s="1"/>
  <c r="B29"/>
  <c r="F29" s="1"/>
  <c r="B20"/>
  <c r="F20" s="1"/>
  <c r="B19"/>
  <c r="F19" s="1"/>
  <c r="B17"/>
  <c r="F17" s="1"/>
  <c r="B22"/>
  <c r="F22" s="1"/>
  <c r="B21"/>
  <c r="F21" s="1"/>
  <c r="B27"/>
  <c r="F27" s="1"/>
  <c r="B18"/>
  <c r="F18" s="1"/>
  <c r="B13"/>
  <c r="F13" s="1"/>
  <c r="B9"/>
  <c r="F9" s="1"/>
  <c r="B26"/>
  <c r="F26" s="1"/>
  <c r="B28"/>
  <c r="F28" s="1"/>
  <c r="B23"/>
  <c r="F23" s="1"/>
  <c r="B12"/>
  <c r="F12" s="1"/>
  <c r="B14"/>
  <c r="F14" s="1"/>
  <c r="B15"/>
  <c r="F15" s="1"/>
  <c r="B16"/>
  <c r="F16" s="1"/>
  <c r="B11"/>
  <c r="F11" s="1"/>
  <c r="B8"/>
  <c r="F8" s="1"/>
  <c r="B7"/>
  <c r="F7" s="1"/>
  <c r="F5"/>
  <c r="B6"/>
  <c r="F6" s="1"/>
  <c r="B143" i="1"/>
  <c r="F143" s="1"/>
  <c r="B142"/>
  <c r="F142" s="1"/>
  <c r="B140"/>
  <c r="F140" s="1"/>
  <c r="B139"/>
  <c r="F139" s="1"/>
  <c r="B137"/>
  <c r="F137" s="1"/>
  <c r="B136"/>
  <c r="F136" s="1"/>
  <c r="B135"/>
  <c r="F135" s="1"/>
  <c r="B134"/>
  <c r="F134" s="1"/>
  <c r="B131"/>
  <c r="F131" s="1"/>
  <c r="B141"/>
  <c r="F141" s="1"/>
  <c r="B138"/>
  <c r="F138" s="1"/>
  <c r="B133"/>
  <c r="F133" s="1"/>
  <c r="B132"/>
  <c r="F132" s="1"/>
  <c r="B130"/>
  <c r="F130" s="1"/>
  <c r="F129"/>
  <c r="F128"/>
  <c r="B127"/>
  <c r="F127" s="1"/>
  <c r="B126"/>
  <c r="F126" s="1"/>
  <c r="B125"/>
  <c r="F125" s="1"/>
  <c r="B120"/>
  <c r="F120" s="1"/>
  <c r="B119"/>
  <c r="F119" s="1"/>
  <c r="B118"/>
  <c r="F118" s="1"/>
  <c r="B117"/>
  <c r="F117" s="1"/>
  <c r="B116"/>
  <c r="F116" s="1"/>
  <c r="B114"/>
  <c r="F114" s="1"/>
  <c r="B108"/>
  <c r="F108" s="1"/>
  <c r="B144"/>
  <c r="F144" s="1"/>
  <c r="B145"/>
  <c r="F145" s="1"/>
  <c r="B146"/>
  <c r="F146" s="1"/>
  <c r="B147"/>
  <c r="F147" s="1"/>
  <c r="F157"/>
  <c r="F158"/>
  <c r="B157"/>
  <c r="B158"/>
  <c r="F161"/>
  <c r="F160"/>
  <c r="F174"/>
  <c r="F172"/>
  <c r="B173"/>
  <c r="F173" s="1"/>
  <c r="F43"/>
  <c r="B31"/>
  <c r="F31"/>
  <c r="B44"/>
  <c r="F44"/>
  <c r="F42"/>
  <c r="B45"/>
  <c r="F45" s="1"/>
  <c r="B50"/>
  <c r="F50" s="1"/>
  <c r="F41"/>
  <c r="F40"/>
  <c r="F39"/>
  <c r="F38"/>
  <c r="F37"/>
  <c r="F36"/>
  <c r="B34"/>
  <c r="F34" s="1"/>
  <c r="B33"/>
  <c r="F33" s="1"/>
  <c r="B32"/>
  <c r="F32" s="1"/>
  <c r="B35"/>
  <c r="F35" s="1"/>
  <c r="B29"/>
  <c r="F29" s="1"/>
  <c r="B26"/>
  <c r="F26" s="1"/>
  <c r="B28"/>
  <c r="F28" s="1"/>
  <c r="B27"/>
  <c r="F27" s="1"/>
  <c r="F25"/>
  <c r="B22"/>
  <c r="F22"/>
  <c r="B24"/>
  <c r="F24"/>
  <c r="B23"/>
  <c r="F23"/>
  <c r="B69"/>
  <c r="F69"/>
  <c r="B71"/>
  <c r="F71"/>
  <c r="B79"/>
  <c r="B54"/>
  <c r="F54" s="1"/>
  <c r="B53"/>
  <c r="F53" s="1"/>
  <c r="B51"/>
  <c r="F51" s="1"/>
  <c r="B55"/>
  <c r="F55" s="1"/>
  <c r="B52"/>
  <c r="F52" s="1"/>
  <c r="B49"/>
  <c r="F49" s="1"/>
  <c r="B48"/>
  <c r="F48" s="1"/>
  <c r="B47"/>
  <c r="F47" s="1"/>
  <c r="B46"/>
  <c r="F46" s="1"/>
  <c r="B60"/>
  <c r="F60" s="1"/>
  <c r="B62"/>
  <c r="F62" s="1"/>
  <c r="B61"/>
  <c r="F61"/>
  <c r="B59"/>
  <c r="F59" s="1"/>
  <c r="B77"/>
  <c r="F77" s="1"/>
  <c r="F79"/>
  <c r="B57"/>
  <c r="F57"/>
  <c r="B56"/>
  <c r="F56"/>
  <c r="B58"/>
  <c r="F58"/>
  <c r="B99"/>
  <c r="F99"/>
  <c r="B76"/>
  <c r="F76"/>
  <c r="B75"/>
  <c r="F75"/>
  <c r="F64"/>
  <c r="F63"/>
  <c r="B74"/>
  <c r="F74"/>
  <c r="B73"/>
  <c r="F73"/>
  <c r="F67"/>
  <c r="F68"/>
  <c r="F66"/>
  <c r="F65"/>
  <c r="F72"/>
  <c r="F70"/>
  <c r="F80"/>
  <c r="B78"/>
  <c r="F78" s="1"/>
  <c r="B104"/>
  <c r="F81"/>
  <c r="B82"/>
  <c r="F82" s="1"/>
  <c r="B83"/>
  <c r="F83" s="1"/>
  <c r="B86"/>
  <c r="F86" s="1"/>
  <c r="B84"/>
  <c r="F84" s="1"/>
  <c r="B94"/>
  <c r="F94" s="1"/>
  <c r="B90"/>
  <c r="F90" s="1"/>
  <c r="B87"/>
  <c r="F87" s="1"/>
  <c r="F89"/>
  <c r="F88"/>
  <c r="B92"/>
  <c r="F92" s="1"/>
  <c r="B91"/>
  <c r="F91" s="1"/>
  <c r="B95"/>
  <c r="F95"/>
  <c r="F93"/>
  <c r="B98"/>
  <c r="F98"/>
  <c r="B97"/>
  <c r="F97"/>
  <c r="F96"/>
  <c r="B101"/>
  <c r="F101" s="1"/>
  <c r="B102"/>
  <c r="F102" s="1"/>
  <c r="B100"/>
  <c r="F100" s="1"/>
  <c r="B103"/>
  <c r="F103" s="1"/>
  <c r="B122"/>
  <c r="B121"/>
  <c r="F104"/>
  <c r="B123"/>
  <c r="F106"/>
  <c r="B124"/>
  <c r="B113"/>
  <c r="B111"/>
  <c r="B112"/>
  <c r="B107"/>
  <c r="B110"/>
  <c r="F107"/>
  <c r="B109"/>
  <c r="F109" s="1"/>
  <c r="B149"/>
  <c r="F149" s="1"/>
  <c r="F148"/>
  <c r="B152"/>
  <c r="F152"/>
  <c r="B150"/>
  <c r="F150"/>
  <c r="F151"/>
  <c r="B153"/>
  <c r="F153" s="1"/>
  <c r="F156"/>
  <c r="B175"/>
  <c r="F175"/>
  <c r="B171"/>
  <c r="F171"/>
  <c r="F159"/>
  <c r="B159"/>
  <c r="B162"/>
  <c r="F162"/>
  <c r="B155"/>
  <c r="F155"/>
  <c r="B156"/>
  <c r="B154"/>
  <c r="F154" s="1"/>
</calcChain>
</file>

<file path=xl/sharedStrings.xml><?xml version="1.0" encoding="utf-8"?>
<sst xmlns="http://schemas.openxmlformats.org/spreadsheetml/2006/main" count="559" uniqueCount="226">
  <si>
    <t>Area</t>
  </si>
  <si>
    <t>LS3 OPD</t>
  </si>
  <si>
    <t>CF,FT. HID</t>
  </si>
  <si>
    <t>CF,FT</t>
  </si>
  <si>
    <t>Notes:</t>
  </si>
  <si>
    <t>FT</t>
  </si>
  <si>
    <t>AS4 FIS (Customs)</t>
  </si>
  <si>
    <t>FT, CF</t>
  </si>
  <si>
    <t>MH</t>
  </si>
  <si>
    <t>Lamp Type\Ballasts</t>
  </si>
  <si>
    <t>CED</t>
  </si>
  <si>
    <t>LS3 Elevator Lobbies</t>
  </si>
  <si>
    <t>LS3 Ceiling Fixtures</t>
  </si>
  <si>
    <t>LS3 Food Court</t>
  </si>
  <si>
    <t>MH, FT, CF</t>
  </si>
  <si>
    <t>Hourly Exp.</t>
  </si>
  <si>
    <t>D.O.C.</t>
  </si>
  <si>
    <t>MV</t>
  </si>
  <si>
    <t>Recently completed 1/2</t>
  </si>
  <si>
    <t>LS3 A Pod</t>
  </si>
  <si>
    <t>LS3 B Pod</t>
  </si>
  <si>
    <t>LS3 C Pod</t>
  </si>
  <si>
    <t>LS2 D Pod</t>
  </si>
  <si>
    <t>LS2 E Pod</t>
  </si>
  <si>
    <t>New Completion Date</t>
  </si>
  <si>
    <t>A&amp;B Parking Garages</t>
  </si>
  <si>
    <t>On the list</t>
  </si>
  <si>
    <t>LS Restrooms Levels 1,2,3</t>
  </si>
  <si>
    <t>AS1 APM Guideway</t>
  </si>
  <si>
    <t>AS2 APM Guideway</t>
  </si>
  <si>
    <t>AS3 APM Guideway</t>
  </si>
  <si>
    <t>AS4 APM Guideway</t>
  </si>
  <si>
    <t>A&amp;B Garage Pole Lights</t>
  </si>
  <si>
    <t>AS1,2,3,4 Tram Door Lights</t>
  </si>
  <si>
    <t>GOAA Offices</t>
  </si>
  <si>
    <t>PG Elevator Lobbies</t>
  </si>
  <si>
    <t>LS3 E&amp;W Checkpoint</t>
  </si>
  <si>
    <t>Just west completed</t>
  </si>
  <si>
    <t xml:space="preserve">AS1 F.I.S. </t>
  </si>
  <si>
    <t>AS1,2,3,4 Trams</t>
  </si>
  <si>
    <t>Only AS2 completed</t>
  </si>
  <si>
    <t>Great Hall High bay</t>
  </si>
  <si>
    <t>Central Plant</t>
  </si>
  <si>
    <t xml:space="preserve">LS1 Receiving </t>
  </si>
  <si>
    <t>On The List</t>
  </si>
  <si>
    <t>Bag Makeup</t>
  </si>
  <si>
    <t>Terminal Top Levels 4-11</t>
  </si>
  <si>
    <t>F96T8/XL/SPX35</t>
  </si>
  <si>
    <t>MXR100/C/U/MED</t>
  </si>
  <si>
    <t>FO32/735/ECO</t>
  </si>
  <si>
    <t>4 Curb A&amp;B</t>
  </si>
  <si>
    <t>QTY.</t>
  </si>
  <si>
    <t>P13&amp;14</t>
  </si>
  <si>
    <t>Generator Building</t>
  </si>
  <si>
    <t>M175/U</t>
  </si>
  <si>
    <t>F40T12/835</t>
  </si>
  <si>
    <t>FB032/835/6/ECO</t>
  </si>
  <si>
    <t>F032/735/ECO</t>
  </si>
  <si>
    <t>4 Curb B side Limo Entry</t>
  </si>
  <si>
    <t>MVR175</t>
  </si>
  <si>
    <t>F40/D35/ECO</t>
  </si>
  <si>
    <t>Item #</t>
  </si>
  <si>
    <t>LS-3A Hallways, Bathrooms, storage</t>
  </si>
  <si>
    <t>F96T12/08665/HO</t>
  </si>
  <si>
    <t>F96T8/XL/ECO</t>
  </si>
  <si>
    <t>T-5s</t>
  </si>
  <si>
    <t>Skipped area</t>
  </si>
  <si>
    <t>FB34/D35/6/SS</t>
  </si>
  <si>
    <t>4 Curb A&amp;B E&amp;W Ends</t>
  </si>
  <si>
    <t>MVR175/C/U/Med</t>
  </si>
  <si>
    <t>Hyatt Attrium "U" Area</t>
  </si>
  <si>
    <t>Hyatt Attrium Light Trees</t>
  </si>
  <si>
    <t>AS1 Wings</t>
  </si>
  <si>
    <t>AS3 Wings</t>
  </si>
  <si>
    <t>AS4 Wings</t>
  </si>
  <si>
    <t>PLC26W/835/4P</t>
  </si>
  <si>
    <t>Hyatt Attrium "U" Area Left of TSA</t>
  </si>
  <si>
    <t>Hyatt Attrium Coves right of TSA</t>
  </si>
  <si>
    <t>MVR100/C/U/MED</t>
  </si>
  <si>
    <t>Scaffold,Cones, MOT Required</t>
  </si>
  <si>
    <t>High Lift, Cones, MOT Required</t>
  </si>
  <si>
    <t>These will be replaced w/T-5s</t>
  </si>
  <si>
    <t>MH175/U/MED</t>
  </si>
  <si>
    <t>Terminal Top Ramps 10-11</t>
  </si>
  <si>
    <t>MH175/U</t>
  </si>
  <si>
    <t>Terminal Top levels 4-11 Emergency</t>
  </si>
  <si>
    <t>100Q/CL/DL</t>
  </si>
  <si>
    <t>Could not be consistantly repleneshed</t>
  </si>
  <si>
    <t>AS1 Wings Bathrooms</t>
  </si>
  <si>
    <t>1/2 Completed East sides</t>
  </si>
  <si>
    <t>LS3A Canopy Lights</t>
  </si>
  <si>
    <t>H38AV100/DX</t>
  </si>
  <si>
    <t>H38JA100/DX</t>
  </si>
  <si>
    <t>LS2,3 A&amp;B Curbs &amp; Windows</t>
  </si>
  <si>
    <t>MP100/U/MED</t>
  </si>
  <si>
    <t>13w 4Pin</t>
  </si>
  <si>
    <t>MP250/BU</t>
  </si>
  <si>
    <t>12 foot ladder needed, Tag out</t>
  </si>
  <si>
    <t>F42/TBX/835/A/ECO</t>
  </si>
  <si>
    <t>F40/30BX/SPX35</t>
  </si>
  <si>
    <t>FP54/835/40/ECO</t>
  </si>
  <si>
    <t>32W/35/4P</t>
  </si>
  <si>
    <t>AS1 Wings Customs Gates 23,27</t>
  </si>
  <si>
    <t>MC70T6/U/G2/830</t>
  </si>
  <si>
    <t>F25T8/TL835/Alto</t>
  </si>
  <si>
    <t>FO17/35/ECO</t>
  </si>
  <si>
    <t>CF42DT/IN/835/ECO</t>
  </si>
  <si>
    <t>FT40HL/835/4Pin</t>
  </si>
  <si>
    <t>Mot Reqired</t>
  </si>
  <si>
    <t>Different code FT40HL/835/4P</t>
  </si>
  <si>
    <t>Different code F54W/T5/835/ECO</t>
  </si>
  <si>
    <t>F26DBX/835/ECO</t>
  </si>
  <si>
    <t>MC39TC/U/g8-5/830</t>
  </si>
  <si>
    <t>LS1 A&amp;B RAC Ticket Counters</t>
  </si>
  <si>
    <t>LS3 A&amp;B Ticket Counters</t>
  </si>
  <si>
    <t>LS3 A&amp;B Curbs &amp; Windows</t>
  </si>
  <si>
    <t>Also, F54W/T5/835/EC, TL528W/835HP</t>
  </si>
  <si>
    <t>MH400/C/U</t>
  </si>
  <si>
    <t>1500T3Q/CL</t>
  </si>
  <si>
    <t>M175/U/MED</t>
  </si>
  <si>
    <t>F032 T12</t>
  </si>
  <si>
    <t>F032/835/ECO</t>
  </si>
  <si>
    <t>Helix A&amp;B Garages</t>
  </si>
  <si>
    <t>CF13DS/835/ECO2PIN</t>
  </si>
  <si>
    <t>F26DBX/835/ECO4P</t>
  </si>
  <si>
    <t>F13BX/835/ECO21</t>
  </si>
  <si>
    <t>Scissor lift, Cones, MOT Required</t>
  </si>
  <si>
    <t>65% done, Scissor lift, Cones, MOT Required</t>
  </si>
  <si>
    <t>LS1 Express Pickup</t>
  </si>
  <si>
    <t>LS2 A&amp;B Elevator Tunnel Coves</t>
  </si>
  <si>
    <t>LS1 Commerical Rd</t>
  </si>
  <si>
    <t>LS3 A&amp;B Moving Walkways</t>
  </si>
  <si>
    <t>LS1 A&amp;B Tunnels</t>
  </si>
  <si>
    <t>LS1 A&amp;B RAC Lobbies</t>
  </si>
  <si>
    <t>F36HL/835</t>
  </si>
  <si>
    <t>LS2 A&amp;B Elevator Coves</t>
  </si>
  <si>
    <t>F54W/T5 3500k</t>
  </si>
  <si>
    <t>LS2 A&amp;B Elevator Lobbies &amp; Coves</t>
  </si>
  <si>
    <t xml:space="preserve">LS1 A&amp;B High &amp; Low bay </t>
  </si>
  <si>
    <t>LS1 A&amp;B RAC Lobbies Car #28</t>
  </si>
  <si>
    <t>A&amp;B Garages Elevator Lobbies</t>
  </si>
  <si>
    <t>MVR1000/U/BT37</t>
  </si>
  <si>
    <t>40 W Incandescents</t>
  </si>
  <si>
    <t xml:space="preserve">High Lift, Cones </t>
  </si>
  <si>
    <t>6 Bank A&amp;B Elevators</t>
  </si>
  <si>
    <t>F40SPX35</t>
  </si>
  <si>
    <t>F20T12</t>
  </si>
  <si>
    <t xml:space="preserve">LS1 A&amp;B RAC Lobbies </t>
  </si>
  <si>
    <t>AS2 Under Shuttle Area</t>
  </si>
  <si>
    <t>AS2 Ramps</t>
  </si>
  <si>
    <t>M175/C/U</t>
  </si>
  <si>
    <t>AS2 Ramps Stairwells</t>
  </si>
  <si>
    <t>F48t12/D35</t>
  </si>
  <si>
    <t>AS4 Ramps</t>
  </si>
  <si>
    <t>MH100/Med</t>
  </si>
  <si>
    <t>CF's</t>
  </si>
  <si>
    <t>Lock Tag Out, Conveyor boards for ladders</t>
  </si>
  <si>
    <t>AS1 Ramps</t>
  </si>
  <si>
    <t>AS3 Ramps</t>
  </si>
  <si>
    <t>LS3 A&amp;B Curbside Signs</t>
  </si>
  <si>
    <t>F17 T8</t>
  </si>
  <si>
    <t>MH 39W @Pin</t>
  </si>
  <si>
    <t>LS2 A&amp;B Baggage Claim</t>
  </si>
  <si>
    <t>F30T12</t>
  </si>
  <si>
    <t>MC39TC</t>
  </si>
  <si>
    <t>F96 735</t>
  </si>
  <si>
    <t>HR100AV-Med</t>
  </si>
  <si>
    <t>22w Cir</t>
  </si>
  <si>
    <t>Incomplete, On the list</t>
  </si>
  <si>
    <t>PLL40W/835/4P</t>
  </si>
  <si>
    <t>MHC150/U/M/UK</t>
  </si>
  <si>
    <t>TL5/22W/840</t>
  </si>
  <si>
    <t>AS 1-4 Signs</t>
  </si>
  <si>
    <t>F48T12/HO</t>
  </si>
  <si>
    <t>F24T12/HO</t>
  </si>
  <si>
    <t>F120T12/HO</t>
  </si>
  <si>
    <t>F84T12/HO</t>
  </si>
  <si>
    <t>LS3 A&amp;B Vomitories</t>
  </si>
  <si>
    <t>Hyatt Attrium Moving Sidewalk Signs</t>
  </si>
  <si>
    <t>F040/TL741</t>
  </si>
  <si>
    <t>Terminal Top Parking Signs</t>
  </si>
  <si>
    <t>F72T12/D/HO</t>
  </si>
  <si>
    <t>F108T12/HO</t>
  </si>
  <si>
    <t>F040T8/TL735</t>
  </si>
  <si>
    <t>F25T8/TL735/Alto</t>
  </si>
  <si>
    <t>Commericial Road + A Parking Signs</t>
  </si>
  <si>
    <t>F15T8</t>
  </si>
  <si>
    <t>Terminal Electric Shop</t>
  </si>
  <si>
    <t>LS2 A&amp;B Elevator Tunnel Coves, Passthru</t>
  </si>
  <si>
    <t>FBBX/835/ECO</t>
  </si>
  <si>
    <t>F30/D835BS</t>
  </si>
  <si>
    <t>9w/5s Exit Signs</t>
  </si>
  <si>
    <t>100q/CL/DC</t>
  </si>
  <si>
    <t>FP54/835/HO/E0</t>
  </si>
  <si>
    <t>LS-3A,B Walkways, Food Court</t>
  </si>
  <si>
    <t>Complete</t>
  </si>
  <si>
    <t>M400/C/U</t>
  </si>
  <si>
    <t>F42TBX/835/AFCO</t>
  </si>
  <si>
    <t>MCP100/C/U/MED/940</t>
  </si>
  <si>
    <t>MCP100PAR38/U/SP/830</t>
  </si>
  <si>
    <t>CF42DT/F/IN/835/ECO</t>
  </si>
  <si>
    <t>PL-S9W/35</t>
  </si>
  <si>
    <t>Q100CL/MC</t>
  </si>
  <si>
    <t>F025/835/XP/ECO3</t>
  </si>
  <si>
    <t>Elevator Tunnel Coves A&amp;B</t>
  </si>
  <si>
    <t>M250/U/ET18</t>
  </si>
  <si>
    <t>MVR175/C/U/MED</t>
  </si>
  <si>
    <t>MVR100/U/MED</t>
  </si>
  <si>
    <t>MH400/U/T18</t>
  </si>
  <si>
    <t>Elevator Entries all levels LS1-3</t>
  </si>
  <si>
    <t>F30T12/D835/RS</t>
  </si>
  <si>
    <t>F025/835/ECO</t>
  </si>
  <si>
    <t>Incomplete</t>
  </si>
  <si>
    <t>Finished one side</t>
  </si>
  <si>
    <t>AS-4</t>
  </si>
  <si>
    <t>F017/835/XP/ECO3</t>
  </si>
  <si>
    <t xml:space="preserve">AS-2 </t>
  </si>
  <si>
    <t>CF32DT/E/IN/835/ECO</t>
  </si>
  <si>
    <t>to be done Tall canned 175s food court, CFs pass through</t>
  </si>
  <si>
    <t>70% lower wing 100+ gates</t>
  </si>
  <si>
    <t>Critter Displays</t>
  </si>
  <si>
    <t>7PAR20/END/F25</t>
  </si>
  <si>
    <t>LS3A,B Curbside Canopy Lights</t>
  </si>
  <si>
    <t>LS1A,B Canopy Lights</t>
  </si>
  <si>
    <t>LS1A,B Limo Parking Canopy Lights</t>
  </si>
  <si>
    <t>Current-Paused due to contract 3/22/2012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</si>
</sst>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i/>
      <sz val="11"/>
      <color indexed="8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1" fillId="0" borderId="0" xfId="0" applyFon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83"/>
  <sheetViews>
    <sheetView workbookViewId="0">
      <pane ySplit="1" topLeftCell="A158" activePane="bottomLeft" state="frozen"/>
      <selection pane="bottomLeft" activeCell="E1" sqref="E1:E1048576"/>
    </sheetView>
  </sheetViews>
  <sheetFormatPr defaultRowHeight="15"/>
  <cols>
    <col min="1" max="1" width="34.28515625" customWidth="1"/>
    <col min="2" max="2" width="5.140625" customWidth="1"/>
    <col min="3" max="3" width="26.7109375" customWidth="1"/>
    <col min="4" max="4" width="9.42578125" style="3" customWidth="1"/>
    <col min="5" max="5" width="10.85546875" style="1" customWidth="1"/>
    <col min="6" max="6" width="10.5703125" style="3" customWidth="1"/>
    <col min="7" max="7" width="39.42578125" style="2" customWidth="1"/>
  </cols>
  <sheetData>
    <row r="1" spans="1:7">
      <c r="A1" t="s">
        <v>0</v>
      </c>
      <c r="B1" t="s">
        <v>51</v>
      </c>
      <c r="C1" t="s">
        <v>9</v>
      </c>
      <c r="D1" s="3" t="s">
        <v>61</v>
      </c>
      <c r="E1" s="1" t="s">
        <v>16</v>
      </c>
      <c r="F1" s="3" t="s">
        <v>15</v>
      </c>
      <c r="G1" s="2" t="s">
        <v>4</v>
      </c>
    </row>
    <row r="2" spans="1:7">
      <c r="A2" t="s">
        <v>1</v>
      </c>
      <c r="D2" s="3">
        <v>1728</v>
      </c>
      <c r="E2" s="1">
        <v>39845</v>
      </c>
    </row>
    <row r="3" spans="1:7">
      <c r="A3" t="s">
        <v>1</v>
      </c>
      <c r="D3" s="3">
        <v>1730</v>
      </c>
      <c r="E3" s="1">
        <v>39845</v>
      </c>
    </row>
    <row r="4" spans="1:7">
      <c r="A4" t="s">
        <v>33</v>
      </c>
      <c r="E4" s="1">
        <v>39845</v>
      </c>
    </row>
    <row r="5" spans="1:7">
      <c r="A5" t="s">
        <v>137</v>
      </c>
      <c r="E5" s="1">
        <v>39845</v>
      </c>
      <c r="G5" s="2" t="s">
        <v>24</v>
      </c>
    </row>
    <row r="6" spans="1:7">
      <c r="A6" t="s">
        <v>130</v>
      </c>
      <c r="C6" t="s">
        <v>8</v>
      </c>
      <c r="E6" s="1">
        <v>39873</v>
      </c>
    </row>
    <row r="7" spans="1:7">
      <c r="A7" t="s">
        <v>10</v>
      </c>
      <c r="C7" t="s">
        <v>5</v>
      </c>
      <c r="E7" s="1">
        <v>39873</v>
      </c>
    </row>
    <row r="8" spans="1:7">
      <c r="A8" t="s">
        <v>34</v>
      </c>
      <c r="E8" s="1">
        <v>39873</v>
      </c>
    </row>
    <row r="9" spans="1:7">
      <c r="A9" t="s">
        <v>13</v>
      </c>
      <c r="C9" t="s">
        <v>14</v>
      </c>
      <c r="E9" s="1">
        <v>39904</v>
      </c>
    </row>
    <row r="10" spans="1:7">
      <c r="A10" t="s">
        <v>131</v>
      </c>
      <c r="C10" t="s">
        <v>14</v>
      </c>
      <c r="E10" s="1">
        <v>39904</v>
      </c>
      <c r="G10" s="2" t="s">
        <v>26</v>
      </c>
    </row>
    <row r="11" spans="1:7">
      <c r="A11" t="s">
        <v>132</v>
      </c>
      <c r="C11" t="s">
        <v>2</v>
      </c>
      <c r="E11" s="1">
        <v>39934</v>
      </c>
    </row>
    <row r="12" spans="1:7">
      <c r="A12" t="s">
        <v>36</v>
      </c>
      <c r="E12" s="1">
        <v>39934</v>
      </c>
      <c r="G12" s="2" t="s">
        <v>37</v>
      </c>
    </row>
    <row r="13" spans="1:7">
      <c r="A13" t="s">
        <v>38</v>
      </c>
      <c r="E13" s="1">
        <v>39934</v>
      </c>
    </row>
    <row r="14" spans="1:7">
      <c r="A14" t="s">
        <v>35</v>
      </c>
      <c r="E14" s="1">
        <v>39938</v>
      </c>
    </row>
    <row r="15" spans="1:7">
      <c r="A15" t="s">
        <v>6</v>
      </c>
      <c r="C15" t="s">
        <v>7</v>
      </c>
      <c r="E15" s="1">
        <v>39995</v>
      </c>
    </row>
    <row r="16" spans="1:7">
      <c r="A16" t="s">
        <v>27</v>
      </c>
      <c r="C16" t="s">
        <v>3</v>
      </c>
      <c r="E16" s="1">
        <v>40026</v>
      </c>
    </row>
    <row r="17" spans="1:7">
      <c r="A17" t="s">
        <v>39</v>
      </c>
      <c r="E17" s="1">
        <v>40026</v>
      </c>
      <c r="G17" s="2" t="s">
        <v>40</v>
      </c>
    </row>
    <row r="18" spans="1:7">
      <c r="A18" t="s">
        <v>41</v>
      </c>
      <c r="E18" s="1">
        <v>40026</v>
      </c>
    </row>
    <row r="19" spans="1:7">
      <c r="A19" t="s">
        <v>11</v>
      </c>
      <c r="C19" t="s">
        <v>5</v>
      </c>
      <c r="E19" s="1">
        <v>40360</v>
      </c>
    </row>
    <row r="20" spans="1:7">
      <c r="A20" t="s">
        <v>115</v>
      </c>
      <c r="C20" t="s">
        <v>17</v>
      </c>
      <c r="E20" s="1">
        <v>40360</v>
      </c>
      <c r="G20" s="2" t="s">
        <v>18</v>
      </c>
    </row>
    <row r="21" spans="1:7">
      <c r="A21" t="s">
        <v>128</v>
      </c>
      <c r="C21" t="s">
        <v>5</v>
      </c>
      <c r="E21" s="1">
        <v>40360</v>
      </c>
    </row>
    <row r="22" spans="1:7">
      <c r="A22" t="s">
        <v>178</v>
      </c>
      <c r="B22">
        <f>20+9</f>
        <v>29</v>
      </c>
      <c r="C22" t="s">
        <v>179</v>
      </c>
      <c r="D22" s="3">
        <v>1730</v>
      </c>
      <c r="E22" s="1">
        <v>40539</v>
      </c>
      <c r="F22" s="3">
        <f>B22/2.75</f>
        <v>10.545454545454545</v>
      </c>
    </row>
    <row r="23" spans="1:7">
      <c r="A23" t="s">
        <v>178</v>
      </c>
      <c r="B23">
        <f>55</f>
        <v>55</v>
      </c>
      <c r="C23" t="s">
        <v>57</v>
      </c>
      <c r="D23" s="3">
        <v>1730</v>
      </c>
      <c r="E23" s="1">
        <v>40539</v>
      </c>
      <c r="F23" s="3">
        <f>B23/4</f>
        <v>13.75</v>
      </c>
    </row>
    <row r="24" spans="1:7">
      <c r="A24" t="s">
        <v>178</v>
      </c>
      <c r="B24">
        <f>35</f>
        <v>35</v>
      </c>
      <c r="C24" t="s">
        <v>104</v>
      </c>
      <c r="D24" s="3">
        <v>1730</v>
      </c>
      <c r="E24" s="1">
        <v>40539</v>
      </c>
      <c r="F24" s="3">
        <f>B24/2.5</f>
        <v>14</v>
      </c>
    </row>
    <row r="25" spans="1:7">
      <c r="A25" t="s">
        <v>180</v>
      </c>
      <c r="B25">
        <v>2</v>
      </c>
      <c r="C25" t="s">
        <v>181</v>
      </c>
      <c r="D25" s="3">
        <v>1730</v>
      </c>
      <c r="E25" s="1">
        <v>40540</v>
      </c>
      <c r="F25" s="3">
        <f>B25/0.21</f>
        <v>9.5238095238095237</v>
      </c>
    </row>
    <row r="26" spans="1:7">
      <c r="A26" t="s">
        <v>180</v>
      </c>
      <c r="B26">
        <f>20+8</f>
        <v>28</v>
      </c>
      <c r="C26" t="s">
        <v>182</v>
      </c>
      <c r="D26" s="3">
        <v>1730</v>
      </c>
      <c r="E26" s="1">
        <v>40540</v>
      </c>
      <c r="F26" s="3">
        <f>B26/3</f>
        <v>9.3333333333333339</v>
      </c>
    </row>
    <row r="27" spans="1:7">
      <c r="A27" t="s">
        <v>180</v>
      </c>
      <c r="B27">
        <f>40+75+8</f>
        <v>123</v>
      </c>
      <c r="C27" t="s">
        <v>63</v>
      </c>
      <c r="D27" s="3">
        <v>1730</v>
      </c>
      <c r="E27" s="1">
        <v>40540</v>
      </c>
      <c r="F27" s="3">
        <f>B27/12</f>
        <v>10.25</v>
      </c>
    </row>
    <row r="28" spans="1:7">
      <c r="A28" t="s">
        <v>180</v>
      </c>
      <c r="B28">
        <f>28+147</f>
        <v>175</v>
      </c>
      <c r="C28" t="s">
        <v>57</v>
      </c>
      <c r="D28" s="3">
        <v>1730</v>
      </c>
      <c r="E28" s="1">
        <v>40542</v>
      </c>
      <c r="F28" s="3">
        <f>B28/17</f>
        <v>10.294117647058824</v>
      </c>
    </row>
    <row r="29" spans="1:7">
      <c r="A29" t="s">
        <v>180</v>
      </c>
      <c r="B29">
        <f>3+15</f>
        <v>18</v>
      </c>
      <c r="C29" t="s">
        <v>183</v>
      </c>
      <c r="D29" s="3">
        <v>1730</v>
      </c>
      <c r="E29" s="1">
        <v>40542</v>
      </c>
      <c r="F29" s="3">
        <f>B29/2</f>
        <v>9</v>
      </c>
    </row>
    <row r="30" spans="1:7">
      <c r="A30" t="s">
        <v>12</v>
      </c>
      <c r="C30" t="s">
        <v>5</v>
      </c>
      <c r="D30" s="3">
        <v>1730</v>
      </c>
      <c r="E30" s="1">
        <v>40544</v>
      </c>
    </row>
    <row r="31" spans="1:7">
      <c r="A31" t="s">
        <v>180</v>
      </c>
      <c r="B31">
        <f>20+80</f>
        <v>100</v>
      </c>
      <c r="C31" t="s">
        <v>184</v>
      </c>
      <c r="D31" s="3">
        <v>1730</v>
      </c>
      <c r="E31" s="1">
        <v>40546</v>
      </c>
      <c r="F31" s="3">
        <f>B31/10</f>
        <v>10</v>
      </c>
    </row>
    <row r="32" spans="1:7">
      <c r="A32" t="s">
        <v>25</v>
      </c>
      <c r="B32">
        <f>103+136+136+114</f>
        <v>489</v>
      </c>
      <c r="C32" t="s">
        <v>57</v>
      </c>
      <c r="D32" s="3">
        <v>1730</v>
      </c>
      <c r="E32" s="1">
        <v>40547</v>
      </c>
      <c r="F32" s="3">
        <f>B32/40</f>
        <v>12.225</v>
      </c>
    </row>
    <row r="33" spans="1:6">
      <c r="A33" t="s">
        <v>25</v>
      </c>
      <c r="B33">
        <f>12+14+8+44</f>
        <v>78</v>
      </c>
      <c r="C33" t="s">
        <v>104</v>
      </c>
      <c r="D33" s="3">
        <v>1730</v>
      </c>
      <c r="E33" s="1">
        <v>40547</v>
      </c>
      <c r="F33" s="3">
        <f>B33/8</f>
        <v>9.75</v>
      </c>
    </row>
    <row r="34" spans="1:6">
      <c r="A34" t="s">
        <v>25</v>
      </c>
      <c r="B34">
        <f>16+14+84+96</f>
        <v>210</v>
      </c>
      <c r="C34" t="s">
        <v>179</v>
      </c>
      <c r="D34" s="3">
        <v>1730</v>
      </c>
      <c r="E34" s="1">
        <v>40547</v>
      </c>
      <c r="F34" s="3">
        <f>B34/24</f>
        <v>8.75</v>
      </c>
    </row>
    <row r="35" spans="1:6">
      <c r="A35" t="s">
        <v>25</v>
      </c>
      <c r="B35">
        <f>4+4</f>
        <v>8</v>
      </c>
      <c r="C35" t="s">
        <v>182</v>
      </c>
      <c r="D35" s="3">
        <v>1730</v>
      </c>
      <c r="E35" s="1">
        <v>40547</v>
      </c>
      <c r="F35" s="3">
        <f>B35/1</f>
        <v>8</v>
      </c>
    </row>
    <row r="36" spans="1:6">
      <c r="A36" t="s">
        <v>185</v>
      </c>
      <c r="B36">
        <v>106</v>
      </c>
      <c r="C36" t="s">
        <v>57</v>
      </c>
      <c r="D36" s="3">
        <v>1730</v>
      </c>
      <c r="E36" s="1">
        <v>40554</v>
      </c>
      <c r="F36" s="3">
        <f>B36/9</f>
        <v>11.777777777777779</v>
      </c>
    </row>
    <row r="37" spans="1:6">
      <c r="A37" t="s">
        <v>185</v>
      </c>
      <c r="B37">
        <v>38</v>
      </c>
      <c r="C37" t="s">
        <v>179</v>
      </c>
      <c r="D37" s="3">
        <v>1730</v>
      </c>
      <c r="E37" s="1">
        <v>40554</v>
      </c>
      <c r="F37" s="3">
        <f>B37/4</f>
        <v>9.5</v>
      </c>
    </row>
    <row r="38" spans="1:6">
      <c r="A38" t="s">
        <v>185</v>
      </c>
      <c r="B38">
        <v>68</v>
      </c>
      <c r="C38" t="s">
        <v>64</v>
      </c>
      <c r="D38" s="3">
        <v>1730</v>
      </c>
      <c r="E38" s="1">
        <v>40554</v>
      </c>
      <c r="F38" s="3">
        <f>B38/7</f>
        <v>9.7142857142857135</v>
      </c>
    </row>
    <row r="39" spans="1:6">
      <c r="A39" t="s">
        <v>185</v>
      </c>
      <c r="B39">
        <v>10</v>
      </c>
      <c r="C39" t="s">
        <v>104</v>
      </c>
      <c r="D39" s="3">
        <v>1730</v>
      </c>
      <c r="E39" s="1">
        <v>40554</v>
      </c>
      <c r="F39" s="3">
        <f>B39/1</f>
        <v>10</v>
      </c>
    </row>
    <row r="40" spans="1:6">
      <c r="A40" t="s">
        <v>185</v>
      </c>
      <c r="B40">
        <v>76</v>
      </c>
      <c r="C40" t="s">
        <v>186</v>
      </c>
      <c r="D40" s="3">
        <v>1730</v>
      </c>
      <c r="E40" s="1">
        <v>40554</v>
      </c>
      <c r="F40" s="3">
        <f>B40/7</f>
        <v>10.857142857142858</v>
      </c>
    </row>
    <row r="41" spans="1:6">
      <c r="A41" t="s">
        <v>185</v>
      </c>
      <c r="B41">
        <v>8</v>
      </c>
      <c r="C41" t="s">
        <v>182</v>
      </c>
      <c r="D41" s="3">
        <v>1730</v>
      </c>
      <c r="E41" s="1">
        <v>40554</v>
      </c>
      <c r="F41" s="3">
        <f>B41/1</f>
        <v>8</v>
      </c>
    </row>
    <row r="42" spans="1:6">
      <c r="A42" t="s">
        <v>172</v>
      </c>
      <c r="B42">
        <v>8</v>
      </c>
      <c r="C42" t="s">
        <v>186</v>
      </c>
      <c r="D42" s="3">
        <v>1730</v>
      </c>
      <c r="E42" s="1">
        <v>40555</v>
      </c>
      <c r="F42" s="3">
        <f>B42/0.55</f>
        <v>14.545454545454545</v>
      </c>
    </row>
    <row r="43" spans="1:6">
      <c r="A43" t="s">
        <v>172</v>
      </c>
      <c r="B43">
        <v>4</v>
      </c>
      <c r="C43" t="s">
        <v>179</v>
      </c>
      <c r="D43" s="3">
        <v>1730</v>
      </c>
      <c r="E43" s="1">
        <v>40556</v>
      </c>
      <c r="F43" s="3">
        <f>B43/1</f>
        <v>4</v>
      </c>
    </row>
    <row r="44" spans="1:6">
      <c r="A44" t="s">
        <v>172</v>
      </c>
      <c r="B44">
        <f>33+158+40</f>
        <v>231</v>
      </c>
      <c r="C44" t="s">
        <v>57</v>
      </c>
      <c r="D44" s="3">
        <v>1730</v>
      </c>
      <c r="E44" s="1">
        <v>40557</v>
      </c>
      <c r="F44" s="3">
        <f>B44/20</f>
        <v>11.55</v>
      </c>
    </row>
    <row r="45" spans="1:6">
      <c r="A45" t="s">
        <v>172</v>
      </c>
      <c r="B45">
        <f>16+8</f>
        <v>24</v>
      </c>
      <c r="C45" t="s">
        <v>63</v>
      </c>
      <c r="D45" s="3">
        <v>1730</v>
      </c>
      <c r="E45" s="1">
        <v>40557</v>
      </c>
      <c r="F45" s="3">
        <f>B45/2.5</f>
        <v>9.6</v>
      </c>
    </row>
    <row r="46" spans="1:6">
      <c r="A46" t="s">
        <v>172</v>
      </c>
      <c r="B46">
        <f>20</f>
        <v>20</v>
      </c>
      <c r="C46" t="s">
        <v>173</v>
      </c>
      <c r="D46" s="3">
        <v>1730</v>
      </c>
      <c r="E46" s="1">
        <v>40557</v>
      </c>
      <c r="F46" s="3">
        <f>B46/1.2</f>
        <v>16.666666666666668</v>
      </c>
    </row>
    <row r="47" spans="1:6">
      <c r="A47" t="s">
        <v>172</v>
      </c>
      <c r="B47">
        <f>15</f>
        <v>15</v>
      </c>
      <c r="C47" t="s">
        <v>174</v>
      </c>
      <c r="D47" s="3">
        <v>1730</v>
      </c>
      <c r="E47" s="1">
        <v>40557</v>
      </c>
      <c r="F47" s="3">
        <f>B47/1</f>
        <v>15</v>
      </c>
    </row>
    <row r="48" spans="1:6">
      <c r="A48" t="s">
        <v>172</v>
      </c>
      <c r="B48">
        <f>24</f>
        <v>24</v>
      </c>
      <c r="C48" t="s">
        <v>175</v>
      </c>
      <c r="D48" s="3">
        <v>1730</v>
      </c>
      <c r="E48" s="1">
        <v>40557</v>
      </c>
      <c r="F48" s="3">
        <f>B48/1.7</f>
        <v>14.117647058823529</v>
      </c>
    </row>
    <row r="49" spans="1:7">
      <c r="A49" t="s">
        <v>172</v>
      </c>
      <c r="B49">
        <f>8</f>
        <v>8</v>
      </c>
      <c r="C49" t="s">
        <v>176</v>
      </c>
      <c r="D49" s="3">
        <v>1730</v>
      </c>
      <c r="E49" s="1">
        <v>40557</v>
      </c>
      <c r="F49" s="3">
        <f>B49/0.5</f>
        <v>16</v>
      </c>
    </row>
    <row r="50" spans="1:7">
      <c r="A50" t="s">
        <v>172</v>
      </c>
      <c r="B50">
        <f>25+41</f>
        <v>66</v>
      </c>
      <c r="C50" t="s">
        <v>104</v>
      </c>
      <c r="D50" s="3">
        <v>1730</v>
      </c>
      <c r="E50" s="1">
        <v>40557</v>
      </c>
      <c r="F50" s="3">
        <f>B50/5</f>
        <v>13.2</v>
      </c>
    </row>
    <row r="51" spans="1:7">
      <c r="A51" t="s">
        <v>177</v>
      </c>
      <c r="B51">
        <f>348+180</f>
        <v>528</v>
      </c>
      <c r="C51" t="s">
        <v>57</v>
      </c>
      <c r="D51" s="3">
        <v>1730</v>
      </c>
      <c r="E51" s="1">
        <v>40563</v>
      </c>
      <c r="F51" s="3">
        <f>B51/24</f>
        <v>22</v>
      </c>
    </row>
    <row r="52" spans="1:7">
      <c r="A52" t="s">
        <v>177</v>
      </c>
      <c r="B52">
        <f>4</f>
        <v>4</v>
      </c>
      <c r="C52" t="s">
        <v>104</v>
      </c>
      <c r="D52" s="3">
        <v>1730</v>
      </c>
      <c r="E52" s="1">
        <v>40563</v>
      </c>
      <c r="F52" s="3">
        <f>B52/0.18</f>
        <v>22.222222222222221</v>
      </c>
    </row>
    <row r="53" spans="1:7">
      <c r="A53" t="s">
        <v>114</v>
      </c>
      <c r="B53">
        <f>250+191+216+36+306+68</f>
        <v>1067</v>
      </c>
      <c r="C53" t="s">
        <v>57</v>
      </c>
      <c r="D53" s="3">
        <v>1730</v>
      </c>
      <c r="E53" s="1">
        <v>40574</v>
      </c>
      <c r="F53" s="3">
        <f>B53/46</f>
        <v>23.195652173913043</v>
      </c>
    </row>
    <row r="54" spans="1:7">
      <c r="A54" t="s">
        <v>114</v>
      </c>
      <c r="B54">
        <f>218+62+14+220+402+90+254</f>
        <v>1260</v>
      </c>
      <c r="C54" t="s">
        <v>55</v>
      </c>
      <c r="D54" s="3">
        <v>1730</v>
      </c>
      <c r="E54" s="1">
        <v>40574</v>
      </c>
      <c r="F54" s="3">
        <f>B54/54</f>
        <v>23.333333333333332</v>
      </c>
    </row>
    <row r="55" spans="1:7">
      <c r="A55" t="s">
        <v>114</v>
      </c>
      <c r="B55">
        <f>30+180+67</f>
        <v>277</v>
      </c>
      <c r="C55" t="s">
        <v>104</v>
      </c>
      <c r="D55" s="3">
        <v>1730</v>
      </c>
      <c r="E55" s="1">
        <v>40574</v>
      </c>
      <c r="F55" s="3">
        <f>B55/12</f>
        <v>23.083333333333332</v>
      </c>
    </row>
    <row r="56" spans="1:7">
      <c r="A56" t="s">
        <v>74</v>
      </c>
      <c r="B56">
        <f>127+154</f>
        <v>281</v>
      </c>
      <c r="C56" t="s">
        <v>55</v>
      </c>
      <c r="D56" s="3">
        <v>1728</v>
      </c>
      <c r="E56" s="1">
        <v>40577</v>
      </c>
      <c r="F56" s="3">
        <f>B56/12</f>
        <v>23.416666666666668</v>
      </c>
    </row>
    <row r="57" spans="1:7">
      <c r="A57" t="s">
        <v>74</v>
      </c>
      <c r="B57">
        <f>91+88+75+44</f>
        <v>298</v>
      </c>
      <c r="C57" t="s">
        <v>57</v>
      </c>
      <c r="D57" s="3">
        <v>1728</v>
      </c>
      <c r="E57" s="1">
        <v>40581</v>
      </c>
      <c r="F57" s="3">
        <f>B57/12</f>
        <v>24.833333333333332</v>
      </c>
    </row>
    <row r="58" spans="1:7">
      <c r="A58" t="s">
        <v>74</v>
      </c>
      <c r="B58">
        <f>60+75+60</f>
        <v>195</v>
      </c>
      <c r="C58" t="s">
        <v>163</v>
      </c>
      <c r="D58" s="3">
        <v>1728</v>
      </c>
      <c r="E58" s="1">
        <v>40582</v>
      </c>
      <c r="F58" s="3">
        <f>B58/8</f>
        <v>24.375</v>
      </c>
    </row>
    <row r="59" spans="1:7">
      <c r="A59" t="s">
        <v>133</v>
      </c>
      <c r="B59">
        <f>54+40+45</f>
        <v>139</v>
      </c>
      <c r="C59" t="s">
        <v>169</v>
      </c>
      <c r="D59" s="3">
        <v>1730</v>
      </c>
      <c r="E59" s="1">
        <v>40582</v>
      </c>
      <c r="F59" s="3">
        <f>B59/7</f>
        <v>19.857142857142858</v>
      </c>
    </row>
    <row r="60" spans="1:7">
      <c r="A60" t="s">
        <v>25</v>
      </c>
      <c r="B60">
        <f>5+6+1+2</f>
        <v>14</v>
      </c>
      <c r="C60" t="s">
        <v>171</v>
      </c>
      <c r="D60" s="3">
        <v>2049</v>
      </c>
      <c r="E60" s="1">
        <v>40588</v>
      </c>
      <c r="F60" s="3">
        <f>B60/2</f>
        <v>7</v>
      </c>
    </row>
    <row r="61" spans="1:7">
      <c r="A61" t="s">
        <v>25</v>
      </c>
      <c r="B61">
        <f>33+1+5+8+34+24+28</f>
        <v>133</v>
      </c>
      <c r="C61" t="s">
        <v>170</v>
      </c>
      <c r="D61" s="3">
        <v>1735</v>
      </c>
      <c r="E61" s="1">
        <v>40595</v>
      </c>
      <c r="F61" s="3">
        <f>B61/15</f>
        <v>8.8666666666666671</v>
      </c>
      <c r="G61" s="2" t="s">
        <v>168</v>
      </c>
    </row>
    <row r="62" spans="1:7">
      <c r="A62" t="s">
        <v>25</v>
      </c>
      <c r="B62">
        <f>18+2+1+5+27+16+31+13</f>
        <v>113</v>
      </c>
      <c r="C62" t="s">
        <v>54</v>
      </c>
      <c r="D62" s="3">
        <v>1729</v>
      </c>
      <c r="E62" s="1">
        <v>40595</v>
      </c>
      <c r="F62" s="3">
        <f>B62/12</f>
        <v>9.4166666666666661</v>
      </c>
    </row>
    <row r="63" spans="1:7">
      <c r="A63" t="s">
        <v>25</v>
      </c>
      <c r="B63">
        <v>4</v>
      </c>
      <c r="C63" t="s">
        <v>167</v>
      </c>
      <c r="D63" s="3">
        <v>1735</v>
      </c>
      <c r="E63" s="1">
        <v>40595</v>
      </c>
      <c r="F63" s="3">
        <f>B63/1</f>
        <v>4</v>
      </c>
    </row>
    <row r="64" spans="1:7">
      <c r="A64" t="s">
        <v>25</v>
      </c>
      <c r="B64">
        <v>1</v>
      </c>
      <c r="C64" t="s">
        <v>86</v>
      </c>
      <c r="D64" s="3">
        <v>2049</v>
      </c>
      <c r="E64" s="1">
        <v>40597</v>
      </c>
      <c r="F64" s="3">
        <f>B64/1</f>
        <v>1</v>
      </c>
    </row>
    <row r="65" spans="1:6">
      <c r="A65" t="s">
        <v>162</v>
      </c>
      <c r="B65">
        <v>9</v>
      </c>
      <c r="C65" t="s">
        <v>48</v>
      </c>
      <c r="D65" s="3">
        <v>1733</v>
      </c>
      <c r="E65" s="1">
        <v>40599</v>
      </c>
      <c r="F65" s="3">
        <f>B65/1</f>
        <v>9</v>
      </c>
    </row>
    <row r="66" spans="1:6">
      <c r="A66" t="s">
        <v>162</v>
      </c>
      <c r="B66">
        <v>2</v>
      </c>
      <c r="C66" t="s">
        <v>165</v>
      </c>
      <c r="D66" s="3">
        <v>1730</v>
      </c>
      <c r="E66" s="1">
        <v>40599</v>
      </c>
      <c r="F66" s="3">
        <f>B66/1</f>
        <v>2</v>
      </c>
    </row>
    <row r="67" spans="1:6">
      <c r="A67" t="s">
        <v>162</v>
      </c>
      <c r="B67">
        <v>8</v>
      </c>
      <c r="C67" t="s">
        <v>166</v>
      </c>
      <c r="D67" s="3">
        <v>1735</v>
      </c>
      <c r="E67" s="1">
        <v>40604</v>
      </c>
      <c r="F67" s="3">
        <f>B67/1</f>
        <v>8</v>
      </c>
    </row>
    <row r="68" spans="1:6">
      <c r="A68" t="s">
        <v>162</v>
      </c>
      <c r="B68">
        <v>20</v>
      </c>
      <c r="C68" t="s">
        <v>75</v>
      </c>
      <c r="D68" s="3">
        <v>1728</v>
      </c>
      <c r="E68" s="1">
        <v>40604</v>
      </c>
      <c r="F68" s="3">
        <f>B68/1</f>
        <v>20</v>
      </c>
    </row>
    <row r="69" spans="1:6">
      <c r="A69" t="s">
        <v>74</v>
      </c>
      <c r="B69">
        <f>12+100</f>
        <v>112</v>
      </c>
      <c r="C69" t="s">
        <v>107</v>
      </c>
      <c r="D69" s="3">
        <v>1728</v>
      </c>
      <c r="E69" s="1">
        <v>40606</v>
      </c>
      <c r="F69" s="3">
        <f>B69/7</f>
        <v>16</v>
      </c>
    </row>
    <row r="70" spans="1:6">
      <c r="A70" t="s">
        <v>74</v>
      </c>
      <c r="B70">
        <v>24</v>
      </c>
      <c r="C70" t="s">
        <v>95</v>
      </c>
      <c r="D70" s="3">
        <v>1728</v>
      </c>
      <c r="E70" s="1">
        <v>40606</v>
      </c>
      <c r="F70" s="3">
        <f>B70/1</f>
        <v>24</v>
      </c>
    </row>
    <row r="71" spans="1:6">
      <c r="A71" t="s">
        <v>74</v>
      </c>
      <c r="B71">
        <f>14+70</f>
        <v>84</v>
      </c>
      <c r="C71" t="s">
        <v>75</v>
      </c>
      <c r="D71" s="3">
        <v>1728</v>
      </c>
      <c r="E71" s="1">
        <v>40606</v>
      </c>
      <c r="F71" s="3">
        <f>B71/7</f>
        <v>12</v>
      </c>
    </row>
    <row r="72" spans="1:6">
      <c r="A72" t="s">
        <v>73</v>
      </c>
      <c r="B72">
        <v>82</v>
      </c>
      <c r="C72" t="s">
        <v>164</v>
      </c>
      <c r="D72" s="3">
        <v>1735</v>
      </c>
      <c r="E72" s="1">
        <v>40609</v>
      </c>
      <c r="F72" s="3">
        <f>B72/7</f>
        <v>11.714285714285714</v>
      </c>
    </row>
    <row r="73" spans="1:6">
      <c r="A73" t="s">
        <v>162</v>
      </c>
      <c r="B73">
        <f>150+82+370+30+102+68+270</f>
        <v>1072</v>
      </c>
      <c r="C73" t="s">
        <v>55</v>
      </c>
      <c r="D73" s="3">
        <v>1730</v>
      </c>
      <c r="E73" s="1">
        <v>40616</v>
      </c>
      <c r="F73" s="3">
        <f>B73/42</f>
        <v>25.523809523809526</v>
      </c>
    </row>
    <row r="74" spans="1:6">
      <c r="A74" t="s">
        <v>162</v>
      </c>
      <c r="B74">
        <f>7+10+20+11+93+93+18+15</f>
        <v>267</v>
      </c>
      <c r="C74" t="s">
        <v>163</v>
      </c>
      <c r="D74" s="3">
        <v>1730</v>
      </c>
      <c r="E74" s="1">
        <v>40616</v>
      </c>
      <c r="F74" s="3">
        <f>B74/11</f>
        <v>24.272727272727273</v>
      </c>
    </row>
    <row r="75" spans="1:6">
      <c r="A75" t="s">
        <v>162</v>
      </c>
      <c r="B75">
        <f>8+15+10+28+16+28+25+2+20+14+25</f>
        <v>191</v>
      </c>
      <c r="C75" t="s">
        <v>104</v>
      </c>
      <c r="D75" s="3">
        <v>1730</v>
      </c>
      <c r="E75" s="1">
        <v>40616</v>
      </c>
      <c r="F75" s="3">
        <f>B75/9</f>
        <v>21.222222222222221</v>
      </c>
    </row>
    <row r="76" spans="1:6">
      <c r="A76" t="s">
        <v>162</v>
      </c>
      <c r="B76">
        <f>137+350+15+239+372+252+212+305+216+82+360+270+270</f>
        <v>3080</v>
      </c>
      <c r="C76" t="s">
        <v>57</v>
      </c>
      <c r="D76" s="3">
        <v>1730</v>
      </c>
      <c r="E76" s="1">
        <v>40616</v>
      </c>
      <c r="F76" s="3">
        <f>B76/122</f>
        <v>25.245901639344261</v>
      </c>
    </row>
    <row r="77" spans="1:6">
      <c r="A77" t="s">
        <v>133</v>
      </c>
      <c r="B77">
        <f>6+18+72+4</f>
        <v>100</v>
      </c>
      <c r="C77" t="s">
        <v>75</v>
      </c>
      <c r="D77" s="3">
        <v>1728</v>
      </c>
      <c r="E77" s="1">
        <v>40624</v>
      </c>
      <c r="F77" s="3">
        <f>B77/4</f>
        <v>25</v>
      </c>
    </row>
    <row r="78" spans="1:6">
      <c r="A78" t="s">
        <v>72</v>
      </c>
      <c r="B78">
        <f>13+35</f>
        <v>48</v>
      </c>
      <c r="C78" t="s">
        <v>161</v>
      </c>
      <c r="D78" s="3">
        <v>1735</v>
      </c>
      <c r="E78" s="1">
        <v>40626</v>
      </c>
      <c r="F78" s="3">
        <f>B78/4</f>
        <v>12</v>
      </c>
    </row>
    <row r="79" spans="1:6">
      <c r="A79" t="s">
        <v>133</v>
      </c>
      <c r="B79">
        <f>1+2+271+241+296+350+300+183+326+400+363+406+300+198+54+7+7+92</f>
        <v>3797</v>
      </c>
      <c r="C79" t="s">
        <v>106</v>
      </c>
      <c r="D79" s="3">
        <v>1728</v>
      </c>
      <c r="E79" s="1">
        <v>40639</v>
      </c>
      <c r="F79" s="3">
        <f>B79/149</f>
        <v>25.483221476510067</v>
      </c>
    </row>
    <row r="80" spans="1:6">
      <c r="A80" t="s">
        <v>159</v>
      </c>
      <c r="B80">
        <v>72</v>
      </c>
      <c r="C80" t="s">
        <v>57</v>
      </c>
      <c r="D80" s="3">
        <v>1730</v>
      </c>
      <c r="E80" s="1">
        <v>40640</v>
      </c>
      <c r="F80" s="3">
        <f>B80/8</f>
        <v>9</v>
      </c>
    </row>
    <row r="81" spans="1:7">
      <c r="A81" t="s">
        <v>159</v>
      </c>
      <c r="B81">
        <v>72</v>
      </c>
      <c r="C81" t="s">
        <v>160</v>
      </c>
      <c r="D81" s="3">
        <v>1730</v>
      </c>
      <c r="E81" s="1">
        <v>40640</v>
      </c>
      <c r="F81" s="3">
        <f>B81/8</f>
        <v>9</v>
      </c>
    </row>
    <row r="82" spans="1:7">
      <c r="A82" t="s">
        <v>158</v>
      </c>
      <c r="B82">
        <f>180+180+90</f>
        <v>450</v>
      </c>
      <c r="C82" t="s">
        <v>57</v>
      </c>
      <c r="D82" s="3">
        <v>1730</v>
      </c>
      <c r="E82" s="1">
        <v>40646</v>
      </c>
      <c r="F82" s="3">
        <f>B82/28</f>
        <v>16.071428571428573</v>
      </c>
    </row>
    <row r="83" spans="1:7">
      <c r="A83" t="s">
        <v>19</v>
      </c>
      <c r="B83">
        <f>243+316</f>
        <v>559</v>
      </c>
      <c r="C83" t="s">
        <v>121</v>
      </c>
      <c r="D83" s="3">
        <v>1730</v>
      </c>
      <c r="E83" s="1">
        <v>40651</v>
      </c>
      <c r="F83" s="3">
        <f>B83/25</f>
        <v>22.36</v>
      </c>
      <c r="G83" s="2" t="s">
        <v>156</v>
      </c>
    </row>
    <row r="84" spans="1:7">
      <c r="A84" t="s">
        <v>157</v>
      </c>
      <c r="B84">
        <f>210+90</f>
        <v>300</v>
      </c>
      <c r="C84" t="s">
        <v>57</v>
      </c>
      <c r="D84" s="3">
        <v>1730</v>
      </c>
      <c r="E84" s="1">
        <v>40652</v>
      </c>
      <c r="F84" s="3">
        <f>B84/23</f>
        <v>13.043478260869565</v>
      </c>
    </row>
    <row r="85" spans="1:7">
      <c r="A85" t="s">
        <v>157</v>
      </c>
      <c r="B85">
        <v>2</v>
      </c>
      <c r="C85" t="s">
        <v>98</v>
      </c>
      <c r="D85" s="3">
        <v>1728</v>
      </c>
      <c r="E85" s="1">
        <v>40652</v>
      </c>
      <c r="F85" s="3">
        <v>12</v>
      </c>
    </row>
    <row r="86" spans="1:7">
      <c r="A86" t="s">
        <v>20</v>
      </c>
      <c r="B86">
        <f>180+210+134</f>
        <v>524</v>
      </c>
      <c r="C86" t="s">
        <v>57</v>
      </c>
      <c r="D86" s="3">
        <v>1730</v>
      </c>
      <c r="E86" s="1">
        <v>40660</v>
      </c>
      <c r="F86" s="3">
        <f>B86/25</f>
        <v>20.96</v>
      </c>
    </row>
    <row r="87" spans="1:7">
      <c r="A87" t="s">
        <v>153</v>
      </c>
      <c r="B87">
        <f>39+53+66+8</f>
        <v>166</v>
      </c>
      <c r="C87" t="s">
        <v>154</v>
      </c>
      <c r="D87" s="3">
        <v>1734</v>
      </c>
      <c r="E87" s="1">
        <v>40668</v>
      </c>
      <c r="F87" s="3">
        <f>B87/22</f>
        <v>7.5454545454545459</v>
      </c>
    </row>
    <row r="88" spans="1:7">
      <c r="A88" t="s">
        <v>153</v>
      </c>
      <c r="B88">
        <v>3</v>
      </c>
      <c r="C88" t="s">
        <v>154</v>
      </c>
      <c r="D88" s="3">
        <v>1735</v>
      </c>
      <c r="E88" s="1">
        <v>40668</v>
      </c>
      <c r="F88" s="3">
        <f>B88/0.33</f>
        <v>9.0909090909090899</v>
      </c>
    </row>
    <row r="89" spans="1:7">
      <c r="A89" t="s">
        <v>153</v>
      </c>
      <c r="B89">
        <v>3</v>
      </c>
      <c r="C89" t="s">
        <v>155</v>
      </c>
      <c r="D89" s="3">
        <v>1728</v>
      </c>
      <c r="E89" s="1">
        <v>40668</v>
      </c>
      <c r="F89" s="3">
        <f>B89/0.33</f>
        <v>9.0909090909090899</v>
      </c>
    </row>
    <row r="90" spans="1:7">
      <c r="A90" t="s">
        <v>31</v>
      </c>
      <c r="B90">
        <f>106+90</f>
        <v>196</v>
      </c>
      <c r="C90" t="s">
        <v>152</v>
      </c>
      <c r="D90" s="3">
        <v>1730</v>
      </c>
      <c r="E90" s="1">
        <v>40672</v>
      </c>
      <c r="F90" s="3">
        <f>B90/16</f>
        <v>12.25</v>
      </c>
    </row>
    <row r="91" spans="1:7">
      <c r="A91" t="s">
        <v>151</v>
      </c>
      <c r="B91">
        <f>58+4</f>
        <v>62</v>
      </c>
      <c r="C91" t="s">
        <v>106</v>
      </c>
      <c r="D91" s="3">
        <v>1728</v>
      </c>
      <c r="E91" s="1">
        <v>40676</v>
      </c>
      <c r="F91" s="3">
        <f>B91/5.8</f>
        <v>10.689655172413794</v>
      </c>
    </row>
    <row r="92" spans="1:7">
      <c r="A92" t="s">
        <v>149</v>
      </c>
      <c r="B92">
        <f>67+12+12+45+49</f>
        <v>185</v>
      </c>
      <c r="C92" t="s">
        <v>150</v>
      </c>
      <c r="D92" s="3">
        <v>1734</v>
      </c>
      <c r="E92" s="1">
        <v>40686</v>
      </c>
      <c r="F92" s="3">
        <f>B92/13</f>
        <v>14.23076923076923</v>
      </c>
    </row>
    <row r="93" spans="1:7">
      <c r="A93" t="s">
        <v>149</v>
      </c>
      <c r="B93">
        <v>4</v>
      </c>
      <c r="C93" t="s">
        <v>150</v>
      </c>
      <c r="D93" s="3">
        <v>1735</v>
      </c>
      <c r="E93" s="1">
        <v>40686</v>
      </c>
      <c r="F93" s="3">
        <f>B93/0.3</f>
        <v>13.333333333333334</v>
      </c>
    </row>
    <row r="94" spans="1:7">
      <c r="A94" t="s">
        <v>149</v>
      </c>
      <c r="B94">
        <f>24+10</f>
        <v>34</v>
      </c>
      <c r="C94" t="s">
        <v>57</v>
      </c>
      <c r="D94" s="3">
        <v>1734</v>
      </c>
      <c r="E94" s="1">
        <v>40686</v>
      </c>
      <c r="F94" s="3">
        <f>B94/3</f>
        <v>11.333333333333334</v>
      </c>
    </row>
    <row r="95" spans="1:7">
      <c r="A95" t="s">
        <v>29</v>
      </c>
      <c r="B95">
        <f>120+72</f>
        <v>192</v>
      </c>
      <c r="C95" t="s">
        <v>152</v>
      </c>
      <c r="D95" s="3">
        <v>1730</v>
      </c>
      <c r="E95" s="1">
        <v>40687</v>
      </c>
      <c r="F95" s="3">
        <f>B95/16</f>
        <v>12</v>
      </c>
    </row>
    <row r="96" spans="1:7">
      <c r="A96" t="s">
        <v>148</v>
      </c>
      <c r="B96">
        <v>16</v>
      </c>
      <c r="C96" t="s">
        <v>57</v>
      </c>
      <c r="D96" s="3">
        <v>1724</v>
      </c>
      <c r="E96" s="1">
        <v>40687</v>
      </c>
      <c r="F96" s="3">
        <f>B96/2</f>
        <v>8</v>
      </c>
    </row>
    <row r="97" spans="1:7">
      <c r="A97" t="s">
        <v>144</v>
      </c>
      <c r="B97">
        <f>120+38+72+151+156</f>
        <v>537</v>
      </c>
      <c r="C97" t="s">
        <v>145</v>
      </c>
      <c r="D97" s="3">
        <v>1730</v>
      </c>
      <c r="E97" s="1">
        <v>40694</v>
      </c>
      <c r="F97" s="3">
        <f>B97/25</f>
        <v>21.48</v>
      </c>
    </row>
    <row r="98" spans="1:7">
      <c r="A98" t="s">
        <v>144</v>
      </c>
      <c r="B98">
        <f>24+7+14+30+31</f>
        <v>106</v>
      </c>
      <c r="C98" t="s">
        <v>146</v>
      </c>
      <c r="D98" s="3">
        <v>1730</v>
      </c>
      <c r="E98" s="1">
        <v>40694</v>
      </c>
      <c r="F98" s="3">
        <f>B98/5</f>
        <v>21.2</v>
      </c>
    </row>
    <row r="99" spans="1:7">
      <c r="A99" t="s">
        <v>147</v>
      </c>
      <c r="B99">
        <f>58+437</f>
        <v>495</v>
      </c>
      <c r="C99" t="s">
        <v>107</v>
      </c>
      <c r="D99" s="3">
        <v>1728</v>
      </c>
      <c r="E99" s="1">
        <v>40695</v>
      </c>
      <c r="F99" s="3">
        <f>B99/23</f>
        <v>21.521739130434781</v>
      </c>
    </row>
    <row r="100" spans="1:7">
      <c r="A100" t="s">
        <v>30</v>
      </c>
      <c r="B100">
        <f>52</f>
        <v>52</v>
      </c>
      <c r="C100" t="s">
        <v>57</v>
      </c>
      <c r="D100" s="3">
        <v>1730</v>
      </c>
      <c r="E100" s="1">
        <v>40697</v>
      </c>
      <c r="F100" s="3">
        <f>B100/8</f>
        <v>6.5</v>
      </c>
      <c r="G100" s="2" t="s">
        <v>24</v>
      </c>
    </row>
    <row r="101" spans="1:7">
      <c r="A101" t="s">
        <v>71</v>
      </c>
      <c r="B101">
        <f>36+42+48+39+39</f>
        <v>204</v>
      </c>
      <c r="C101" t="s">
        <v>142</v>
      </c>
      <c r="D101" s="3">
        <v>1734</v>
      </c>
      <c r="E101" s="1">
        <v>40697</v>
      </c>
      <c r="F101" s="3">
        <f>B101/15</f>
        <v>13.6</v>
      </c>
      <c r="G101" s="2" t="s">
        <v>143</v>
      </c>
    </row>
    <row r="102" spans="1:7">
      <c r="A102" t="s">
        <v>28</v>
      </c>
      <c r="B102">
        <f>120+48</f>
        <v>168</v>
      </c>
      <c r="C102" t="s">
        <v>57</v>
      </c>
      <c r="D102" s="3">
        <v>1730</v>
      </c>
      <c r="E102" s="1">
        <v>40709</v>
      </c>
      <c r="F102" s="3">
        <f>B102/15</f>
        <v>11.2</v>
      </c>
      <c r="G102" s="2" t="s">
        <v>24</v>
      </c>
    </row>
    <row r="103" spans="1:7">
      <c r="A103" t="s">
        <v>140</v>
      </c>
      <c r="B103">
        <f>48+48+48+48</f>
        <v>192</v>
      </c>
      <c r="C103" t="s">
        <v>57</v>
      </c>
      <c r="D103" s="3">
        <v>1730</v>
      </c>
      <c r="E103" s="1">
        <v>40711</v>
      </c>
      <c r="F103" s="3">
        <f>B103/8</f>
        <v>24</v>
      </c>
    </row>
    <row r="104" spans="1:7">
      <c r="A104" t="s">
        <v>113</v>
      </c>
      <c r="B104">
        <f>15+143+225+174+123+123+120+30+2+54</f>
        <v>1009</v>
      </c>
      <c r="C104" t="s">
        <v>134</v>
      </c>
      <c r="D104" s="3">
        <v>1728</v>
      </c>
      <c r="E104" s="1">
        <v>40737</v>
      </c>
      <c r="F104" s="3">
        <f>B104/29</f>
        <v>34.793103448275865</v>
      </c>
    </row>
    <row r="105" spans="1:7">
      <c r="A105" t="s">
        <v>139</v>
      </c>
      <c r="B105">
        <v>21</v>
      </c>
      <c r="C105" t="s">
        <v>136</v>
      </c>
      <c r="D105" s="3">
        <v>1730</v>
      </c>
      <c r="E105" s="1">
        <v>40737</v>
      </c>
      <c r="F105" s="3">
        <v>26</v>
      </c>
    </row>
    <row r="106" spans="1:7">
      <c r="A106" t="s">
        <v>135</v>
      </c>
      <c r="B106">
        <v>79</v>
      </c>
      <c r="C106" t="s">
        <v>136</v>
      </c>
      <c r="D106" s="3">
        <v>1730</v>
      </c>
      <c r="E106" s="1">
        <v>40738</v>
      </c>
      <c r="F106" s="3">
        <f>B106/3</f>
        <v>26.333333333333332</v>
      </c>
    </row>
    <row r="107" spans="1:7">
      <c r="A107" t="s">
        <v>129</v>
      </c>
      <c r="B107">
        <f>153+145+147+145</f>
        <v>590</v>
      </c>
      <c r="C107" t="s">
        <v>124</v>
      </c>
      <c r="D107" s="3">
        <v>1728</v>
      </c>
      <c r="E107" s="1">
        <v>40772</v>
      </c>
      <c r="F107" s="3">
        <f>153/4</f>
        <v>38.25</v>
      </c>
    </row>
    <row r="108" spans="1:7">
      <c r="A108" t="s">
        <v>29</v>
      </c>
      <c r="B108">
        <f>43</f>
        <v>43</v>
      </c>
      <c r="C108" t="s">
        <v>125</v>
      </c>
      <c r="D108" s="3">
        <v>1728</v>
      </c>
      <c r="E108" s="1">
        <v>40773</v>
      </c>
      <c r="F108" s="3">
        <f>B108/3</f>
        <v>14.333333333333334</v>
      </c>
    </row>
    <row r="109" spans="1:7">
      <c r="A109" t="s">
        <v>29</v>
      </c>
      <c r="B109">
        <f>57</f>
        <v>57</v>
      </c>
      <c r="C109" t="s">
        <v>123</v>
      </c>
      <c r="D109" s="3">
        <v>1728</v>
      </c>
      <c r="E109" s="1">
        <v>40773</v>
      </c>
      <c r="F109" s="3">
        <f>B109/4</f>
        <v>14.25</v>
      </c>
    </row>
    <row r="110" spans="1:7">
      <c r="A110" t="s">
        <v>122</v>
      </c>
      <c r="B110">
        <f>24+24</f>
        <v>48</v>
      </c>
      <c r="C110" t="s">
        <v>54</v>
      </c>
      <c r="D110" s="3">
        <v>1734</v>
      </c>
      <c r="E110" s="1">
        <v>40774</v>
      </c>
      <c r="F110" s="3">
        <v>8</v>
      </c>
    </row>
    <row r="111" spans="1:7">
      <c r="A111" t="s">
        <v>122</v>
      </c>
      <c r="B111">
        <f>16+8+8</f>
        <v>32</v>
      </c>
      <c r="C111" t="s">
        <v>54</v>
      </c>
      <c r="D111" s="3">
        <v>1735</v>
      </c>
      <c r="E111" s="1">
        <v>40774</v>
      </c>
      <c r="F111" s="3">
        <v>8</v>
      </c>
    </row>
    <row r="112" spans="1:7">
      <c r="A112" t="s">
        <v>22</v>
      </c>
      <c r="B112">
        <f>36+59</f>
        <v>95</v>
      </c>
      <c r="C112" t="s">
        <v>121</v>
      </c>
      <c r="D112" s="3">
        <v>1734</v>
      </c>
      <c r="E112" s="1">
        <v>40781</v>
      </c>
      <c r="F112" s="3">
        <v>20</v>
      </c>
    </row>
    <row r="113" spans="1:7">
      <c r="A113" t="s">
        <v>22</v>
      </c>
      <c r="B113">
        <f>47+27+43</f>
        <v>117</v>
      </c>
      <c r="C113" t="s">
        <v>121</v>
      </c>
      <c r="D113" s="3">
        <v>1730</v>
      </c>
      <c r="E113" s="1">
        <v>40781</v>
      </c>
      <c r="F113" s="3">
        <v>20</v>
      </c>
    </row>
    <row r="114" spans="1:7">
      <c r="A114" t="s">
        <v>45</v>
      </c>
      <c r="B114">
        <f>8+1+16</f>
        <v>25</v>
      </c>
      <c r="C114" t="s">
        <v>120</v>
      </c>
      <c r="D114" s="3">
        <v>1730</v>
      </c>
      <c r="E114" s="1">
        <v>40786</v>
      </c>
      <c r="F114" s="3">
        <f>B114/1</f>
        <v>25</v>
      </c>
    </row>
    <row r="115" spans="1:7">
      <c r="A115" t="s">
        <v>45</v>
      </c>
      <c r="B115">
        <v>1</v>
      </c>
      <c r="C115" t="s">
        <v>120</v>
      </c>
      <c r="D115" s="3">
        <v>1734</v>
      </c>
      <c r="E115" s="1">
        <v>40786</v>
      </c>
      <c r="F115" s="3">
        <v>20</v>
      </c>
    </row>
    <row r="116" spans="1:7">
      <c r="A116" t="s">
        <v>21</v>
      </c>
      <c r="B116">
        <f>12+24</f>
        <v>36</v>
      </c>
      <c r="C116" t="s">
        <v>57</v>
      </c>
      <c r="D116" s="3">
        <v>1730</v>
      </c>
      <c r="E116" s="1">
        <v>40787</v>
      </c>
      <c r="F116" s="3">
        <f>B116/3</f>
        <v>12</v>
      </c>
    </row>
    <row r="117" spans="1:7">
      <c r="A117" t="s">
        <v>45</v>
      </c>
      <c r="B117">
        <f>3+8+3</f>
        <v>14</v>
      </c>
      <c r="C117" t="s">
        <v>54</v>
      </c>
      <c r="D117" s="3">
        <v>1735</v>
      </c>
      <c r="E117" s="1">
        <v>40788</v>
      </c>
      <c r="F117" s="3">
        <f>B117/1</f>
        <v>14</v>
      </c>
      <c r="G117" s="2" t="s">
        <v>126</v>
      </c>
    </row>
    <row r="118" spans="1:7">
      <c r="A118" t="s">
        <v>45</v>
      </c>
      <c r="B118">
        <f>10+15+15</f>
        <v>40</v>
      </c>
      <c r="C118" t="s">
        <v>119</v>
      </c>
      <c r="D118" s="3">
        <v>1734</v>
      </c>
      <c r="E118" s="1">
        <v>40788</v>
      </c>
      <c r="F118" s="3">
        <f>B118/4</f>
        <v>10</v>
      </c>
      <c r="G118" s="2" t="s">
        <v>126</v>
      </c>
    </row>
    <row r="119" spans="1:7">
      <c r="A119" t="s">
        <v>45</v>
      </c>
      <c r="B119">
        <f>13+43+34+30+8+27+12+27+144+119+144+25+90+119+135+33+197+202+188+42+44</f>
        <v>1676</v>
      </c>
      <c r="C119" t="s">
        <v>57</v>
      </c>
      <c r="D119" s="3">
        <v>1730</v>
      </c>
      <c r="E119" s="1">
        <v>40792</v>
      </c>
      <c r="F119" s="3">
        <f>B119/70</f>
        <v>23.942857142857143</v>
      </c>
    </row>
    <row r="120" spans="1:7">
      <c r="A120" t="s">
        <v>45</v>
      </c>
      <c r="B120">
        <f>18+10+30+44+59+39+30+6+9+61+18+87+45+34+66</f>
        <v>556</v>
      </c>
      <c r="C120" t="s">
        <v>57</v>
      </c>
      <c r="D120" s="3">
        <v>1734</v>
      </c>
      <c r="E120" s="1">
        <v>40792</v>
      </c>
      <c r="F120" s="3">
        <f>B120/23</f>
        <v>24.173913043478262</v>
      </c>
    </row>
    <row r="121" spans="1:7">
      <c r="A121" t="s">
        <v>32</v>
      </c>
      <c r="B121">
        <f>4+4+4+1+7+11+11+11+22+2+10+11+1+4+7+13+11+9+1+4+3+12+6+6+10+5+6</f>
        <v>196</v>
      </c>
      <c r="C121" t="s">
        <v>141</v>
      </c>
      <c r="D121" s="3">
        <v>1731</v>
      </c>
      <c r="E121" s="1">
        <v>40799</v>
      </c>
      <c r="F121" s="3">
        <v>3</v>
      </c>
      <c r="G121" s="2" t="s">
        <v>80</v>
      </c>
    </row>
    <row r="122" spans="1:7">
      <c r="A122" t="s">
        <v>32</v>
      </c>
      <c r="B122">
        <f>2+8+8+11+2+1+6+3+10+11</f>
        <v>62</v>
      </c>
      <c r="C122" t="s">
        <v>118</v>
      </c>
      <c r="D122" s="3">
        <v>1734</v>
      </c>
      <c r="E122" s="1">
        <v>40799</v>
      </c>
      <c r="F122" s="3">
        <v>4</v>
      </c>
      <c r="G122" s="2" t="s">
        <v>80</v>
      </c>
    </row>
    <row r="123" spans="1:7">
      <c r="A123" t="s">
        <v>45</v>
      </c>
      <c r="B123">
        <f>16+34+12+49+4+18+6+26+16+41+9+24+24+32+3+48+12+15+3+11+4+6+3</f>
        <v>416</v>
      </c>
      <c r="C123" t="s">
        <v>117</v>
      </c>
      <c r="D123" s="3">
        <v>1732</v>
      </c>
      <c r="E123" s="1">
        <v>40802</v>
      </c>
      <c r="F123" s="3">
        <v>6</v>
      </c>
      <c r="G123" s="2" t="s">
        <v>127</v>
      </c>
    </row>
    <row r="124" spans="1:7">
      <c r="A124" t="s">
        <v>45</v>
      </c>
      <c r="B124">
        <f>2+7+2+20+12+6+7+2+2+12+2+16+7+5+4</f>
        <v>106</v>
      </c>
      <c r="C124" t="s">
        <v>86</v>
      </c>
      <c r="D124" s="3">
        <v>2049</v>
      </c>
      <c r="E124" s="1">
        <v>40802</v>
      </c>
      <c r="F124" s="3">
        <v>6</v>
      </c>
      <c r="G124" s="2" t="s">
        <v>127</v>
      </c>
    </row>
    <row r="125" spans="1:7">
      <c r="A125" t="s">
        <v>72</v>
      </c>
      <c r="B125">
        <f>1+1</f>
        <v>2</v>
      </c>
      <c r="C125" t="s">
        <v>112</v>
      </c>
      <c r="D125" s="3">
        <v>1728</v>
      </c>
      <c r="E125" s="1">
        <v>40806</v>
      </c>
      <c r="F125" s="3">
        <f>B125/1</f>
        <v>2</v>
      </c>
    </row>
    <row r="126" spans="1:7">
      <c r="A126" t="s">
        <v>72</v>
      </c>
      <c r="B126">
        <f>30</f>
        <v>30</v>
      </c>
      <c r="C126" t="s">
        <v>111</v>
      </c>
      <c r="D126" s="3">
        <v>1728</v>
      </c>
      <c r="E126" s="1">
        <v>40807</v>
      </c>
      <c r="F126" s="3">
        <f>B126/1.75</f>
        <v>17.142857142857142</v>
      </c>
    </row>
    <row r="127" spans="1:7">
      <c r="A127" t="s">
        <v>72</v>
      </c>
      <c r="B127">
        <f>27+2+48+56+219+100+120+50+110+118+60+122+100+60+60</f>
        <v>1252</v>
      </c>
      <c r="C127" t="s">
        <v>107</v>
      </c>
      <c r="D127" s="3">
        <v>1728</v>
      </c>
      <c r="E127" s="1">
        <v>40816</v>
      </c>
      <c r="F127" s="3">
        <f>B127/64</f>
        <v>19.5625</v>
      </c>
    </row>
    <row r="128" spans="1:7">
      <c r="A128" t="s">
        <v>88</v>
      </c>
      <c r="B128">
        <v>1</v>
      </c>
      <c r="C128" t="s">
        <v>105</v>
      </c>
      <c r="D128" s="3">
        <v>1730</v>
      </c>
      <c r="E128" s="1">
        <v>40816</v>
      </c>
      <c r="F128" s="3">
        <f>B128/1</f>
        <v>1</v>
      </c>
    </row>
    <row r="129" spans="1:7">
      <c r="A129" t="s">
        <v>88</v>
      </c>
      <c r="B129">
        <v>4</v>
      </c>
      <c r="C129" t="s">
        <v>103</v>
      </c>
      <c r="D129" s="3">
        <v>1735</v>
      </c>
      <c r="E129" s="1">
        <v>40819</v>
      </c>
      <c r="F129" s="3">
        <f>B129/1</f>
        <v>4</v>
      </c>
    </row>
    <row r="130" spans="1:7">
      <c r="A130" t="s">
        <v>102</v>
      </c>
      <c r="B130">
        <f>33+21+27+16</f>
        <v>97</v>
      </c>
      <c r="C130" t="s">
        <v>57</v>
      </c>
      <c r="D130" s="3">
        <v>1734</v>
      </c>
      <c r="E130" s="1">
        <v>40820</v>
      </c>
      <c r="F130" s="3">
        <f>B130/4</f>
        <v>24.25</v>
      </c>
    </row>
    <row r="131" spans="1:7">
      <c r="A131" t="s">
        <v>23</v>
      </c>
      <c r="B131">
        <f>18+10+6</f>
        <v>34</v>
      </c>
      <c r="C131" t="s">
        <v>96</v>
      </c>
      <c r="D131" s="3">
        <v>1734</v>
      </c>
      <c r="E131" s="1">
        <v>40821</v>
      </c>
      <c r="F131" s="3">
        <f>B131/5</f>
        <v>6.8</v>
      </c>
      <c r="G131" s="2" t="s">
        <v>97</v>
      </c>
    </row>
    <row r="132" spans="1:7">
      <c r="A132" t="s">
        <v>23</v>
      </c>
      <c r="B132">
        <f>40</f>
        <v>40</v>
      </c>
      <c r="C132" t="s">
        <v>57</v>
      </c>
      <c r="D132" s="3">
        <v>1730</v>
      </c>
      <c r="E132" s="1">
        <v>40821</v>
      </c>
      <c r="F132" s="3">
        <f>B132/4</f>
        <v>10</v>
      </c>
    </row>
    <row r="133" spans="1:7">
      <c r="A133" t="s">
        <v>23</v>
      </c>
      <c r="B133">
        <f>10+6</f>
        <v>16</v>
      </c>
      <c r="C133" t="s">
        <v>86</v>
      </c>
      <c r="D133" s="3">
        <v>2049</v>
      </c>
      <c r="E133" s="1">
        <v>40821</v>
      </c>
      <c r="F133" s="3">
        <f>B133/4</f>
        <v>4</v>
      </c>
    </row>
    <row r="134" spans="1:7">
      <c r="A134" t="s">
        <v>72</v>
      </c>
      <c r="B134">
        <f>82+196+73+66+140+155+56+120</f>
        <v>888</v>
      </c>
      <c r="C134" t="s">
        <v>57</v>
      </c>
      <c r="D134" s="3">
        <v>1730</v>
      </c>
      <c r="E134" s="1">
        <v>40821</v>
      </c>
      <c r="F134" s="3">
        <f>B134/45</f>
        <v>19.733333333333334</v>
      </c>
    </row>
    <row r="135" spans="1:7">
      <c r="A135" t="s">
        <v>72</v>
      </c>
      <c r="B135">
        <f>2+15+15+34+45</f>
        <v>111</v>
      </c>
      <c r="C135" t="s">
        <v>98</v>
      </c>
      <c r="D135" s="3">
        <v>1728</v>
      </c>
      <c r="E135" s="1">
        <v>40821</v>
      </c>
      <c r="F135" s="3">
        <f>B135/7</f>
        <v>15.857142857142858</v>
      </c>
    </row>
    <row r="136" spans="1:7">
      <c r="A136" t="s">
        <v>72</v>
      </c>
      <c r="B136">
        <f>18+1+6+37+5+40</f>
        <v>107</v>
      </c>
      <c r="C136" t="s">
        <v>101</v>
      </c>
      <c r="D136" s="3">
        <v>1728</v>
      </c>
      <c r="E136" s="1">
        <v>40821</v>
      </c>
      <c r="F136" s="3">
        <f>B136/7</f>
        <v>15.285714285714286</v>
      </c>
    </row>
    <row r="137" spans="1:7">
      <c r="A137" t="s">
        <v>72</v>
      </c>
      <c r="B137">
        <f>26+10+14+2+8+40</f>
        <v>100</v>
      </c>
      <c r="C137" t="s">
        <v>99</v>
      </c>
      <c r="D137" s="3">
        <v>1728</v>
      </c>
      <c r="E137" s="1">
        <v>40821</v>
      </c>
      <c r="F137" s="3">
        <f>B137/6</f>
        <v>16.666666666666668</v>
      </c>
      <c r="G137" s="2" t="s">
        <v>109</v>
      </c>
    </row>
    <row r="138" spans="1:7">
      <c r="A138" t="s">
        <v>72</v>
      </c>
      <c r="B138">
        <f>9+21</f>
        <v>30</v>
      </c>
      <c r="C138" t="s">
        <v>100</v>
      </c>
      <c r="D138" s="3">
        <v>1730</v>
      </c>
      <c r="E138" s="1">
        <v>40821</v>
      </c>
      <c r="F138" s="3">
        <f>B138/4</f>
        <v>7.5</v>
      </c>
      <c r="G138" s="2" t="s">
        <v>116</v>
      </c>
    </row>
    <row r="139" spans="1:7">
      <c r="A139" t="s">
        <v>88</v>
      </c>
      <c r="B139">
        <f>8+13+1</f>
        <v>22</v>
      </c>
      <c r="C139" t="s">
        <v>106</v>
      </c>
      <c r="D139" s="3">
        <v>1728</v>
      </c>
      <c r="E139" s="1">
        <v>40821</v>
      </c>
      <c r="F139" s="3">
        <f>B139/3</f>
        <v>7.333333333333333</v>
      </c>
    </row>
    <row r="140" spans="1:7">
      <c r="A140" t="s">
        <v>88</v>
      </c>
      <c r="B140">
        <f>4+7+6+27+19+16+9</f>
        <v>88</v>
      </c>
      <c r="C140" t="s">
        <v>57</v>
      </c>
      <c r="D140" s="3">
        <v>1730</v>
      </c>
      <c r="E140" s="1">
        <v>40821</v>
      </c>
      <c r="F140" s="3">
        <f>B140/7</f>
        <v>12.571428571428571</v>
      </c>
    </row>
    <row r="141" spans="1:7">
      <c r="A141" t="s">
        <v>88</v>
      </c>
      <c r="B141">
        <f>4+6+8+17+20</f>
        <v>55</v>
      </c>
      <c r="C141" t="s">
        <v>104</v>
      </c>
      <c r="D141" s="3">
        <v>1730</v>
      </c>
      <c r="E141" s="1">
        <v>40821</v>
      </c>
      <c r="F141" s="3">
        <f>B141/4</f>
        <v>13.75</v>
      </c>
    </row>
    <row r="142" spans="1:7">
      <c r="A142" t="s">
        <v>88</v>
      </c>
      <c r="B142">
        <f>4+4+4+14+21+1+18</f>
        <v>66</v>
      </c>
      <c r="C142" t="s">
        <v>100</v>
      </c>
      <c r="D142" s="3">
        <v>1730</v>
      </c>
      <c r="E142" s="1">
        <v>40821</v>
      </c>
      <c r="F142" s="3">
        <f>B142/5</f>
        <v>13.2</v>
      </c>
      <c r="G142" s="2" t="s">
        <v>110</v>
      </c>
    </row>
    <row r="143" spans="1:7">
      <c r="A143" t="s">
        <v>93</v>
      </c>
      <c r="B143">
        <f>60+10+2</f>
        <v>72</v>
      </c>
      <c r="C143" t="s">
        <v>94</v>
      </c>
      <c r="D143" s="3">
        <v>1735</v>
      </c>
      <c r="E143" s="1">
        <v>40823</v>
      </c>
      <c r="F143" s="3">
        <f>B143/6</f>
        <v>12</v>
      </c>
    </row>
    <row r="144" spans="1:7">
      <c r="A144" t="s">
        <v>93</v>
      </c>
      <c r="B144">
        <f>2+20+55+63+14+120+121+19</f>
        <v>414</v>
      </c>
      <c r="C144" t="s">
        <v>92</v>
      </c>
      <c r="D144" s="3">
        <v>1735</v>
      </c>
      <c r="E144" s="1">
        <v>40828</v>
      </c>
      <c r="F144" s="3">
        <f>B144/28</f>
        <v>14.785714285714286</v>
      </c>
      <c r="G144" s="2" t="s">
        <v>89</v>
      </c>
    </row>
    <row r="145" spans="1:7">
      <c r="A145" t="s">
        <v>93</v>
      </c>
      <c r="B145">
        <f>5+2+13</f>
        <v>20</v>
      </c>
      <c r="C145" t="s">
        <v>91</v>
      </c>
      <c r="D145" s="3">
        <v>1735</v>
      </c>
      <c r="E145" s="1">
        <v>40828</v>
      </c>
      <c r="F145" s="3">
        <f>B145/1.5</f>
        <v>13.333333333333334</v>
      </c>
      <c r="G145" s="2" t="s">
        <v>89</v>
      </c>
    </row>
    <row r="146" spans="1:7">
      <c r="A146" t="s">
        <v>93</v>
      </c>
      <c r="B146">
        <f>13+30+24+15</f>
        <v>82</v>
      </c>
      <c r="C146" t="s">
        <v>86</v>
      </c>
      <c r="D146" s="3">
        <v>2049</v>
      </c>
      <c r="E146" s="1">
        <v>40828</v>
      </c>
      <c r="F146" s="3">
        <f>B146/8</f>
        <v>10.25</v>
      </c>
    </row>
    <row r="147" spans="1:7">
      <c r="A147" t="s">
        <v>85</v>
      </c>
      <c r="B147">
        <f>13+65+39+9+14+8+18+6+19</f>
        <v>191</v>
      </c>
      <c r="C147" t="s">
        <v>86</v>
      </c>
      <c r="D147" s="3">
        <v>2049</v>
      </c>
      <c r="E147" s="1">
        <v>40840</v>
      </c>
      <c r="F147" s="3">
        <f>B147/10</f>
        <v>19.100000000000001</v>
      </c>
      <c r="G147" s="2" t="s">
        <v>87</v>
      </c>
    </row>
    <row r="148" spans="1:7">
      <c r="A148" t="s">
        <v>83</v>
      </c>
      <c r="B148">
        <v>39</v>
      </c>
      <c r="C148" t="s">
        <v>84</v>
      </c>
      <c r="D148" s="3">
        <v>1035</v>
      </c>
      <c r="E148" s="1">
        <v>40841</v>
      </c>
      <c r="F148" s="3">
        <f>B148/4</f>
        <v>9.75</v>
      </c>
    </row>
    <row r="149" spans="1:7">
      <c r="A149" t="s">
        <v>46</v>
      </c>
      <c r="B149">
        <f>3+9+145+183+148+139+191+164+173+133+120+32</f>
        <v>1440</v>
      </c>
      <c r="C149" t="s">
        <v>82</v>
      </c>
      <c r="D149" s="3">
        <v>1729</v>
      </c>
      <c r="E149" s="1">
        <v>40843</v>
      </c>
      <c r="F149" s="3">
        <f>B149/57</f>
        <v>25.263157894736842</v>
      </c>
    </row>
    <row r="150" spans="1:7">
      <c r="A150" t="s">
        <v>76</v>
      </c>
      <c r="B150">
        <f>182</f>
        <v>182</v>
      </c>
      <c r="C150" t="s">
        <v>75</v>
      </c>
      <c r="D150" s="3">
        <v>1728</v>
      </c>
      <c r="E150" s="1">
        <v>40844</v>
      </c>
      <c r="F150" s="3">
        <f>B150/9</f>
        <v>20.222222222222221</v>
      </c>
    </row>
    <row r="151" spans="1:7">
      <c r="A151" t="s">
        <v>77</v>
      </c>
      <c r="B151">
        <v>236</v>
      </c>
      <c r="C151" t="s">
        <v>57</v>
      </c>
      <c r="D151" s="3">
        <v>1730</v>
      </c>
      <c r="E151" s="1">
        <v>40848</v>
      </c>
      <c r="F151" s="3">
        <f>B151/8</f>
        <v>29.5</v>
      </c>
    </row>
    <row r="152" spans="1:7">
      <c r="A152" t="s">
        <v>70</v>
      </c>
      <c r="B152">
        <f>3+87+107+13</f>
        <v>210</v>
      </c>
      <c r="C152" t="s">
        <v>78</v>
      </c>
      <c r="D152" s="3">
        <v>1735</v>
      </c>
      <c r="E152" s="1">
        <v>40848</v>
      </c>
      <c r="F152" s="3">
        <f>B152/12</f>
        <v>17.5</v>
      </c>
    </row>
    <row r="153" spans="1:7">
      <c r="A153" t="s">
        <v>68</v>
      </c>
      <c r="B153">
        <f>17+13</f>
        <v>30</v>
      </c>
      <c r="C153" t="s">
        <v>69</v>
      </c>
      <c r="D153" s="3">
        <v>1735</v>
      </c>
      <c r="E153" s="1">
        <v>40852</v>
      </c>
      <c r="F153" s="3">
        <f>B153/3</f>
        <v>10</v>
      </c>
      <c r="G153" s="2" t="s">
        <v>81</v>
      </c>
    </row>
    <row r="154" spans="1:7">
      <c r="A154" t="s">
        <v>50</v>
      </c>
      <c r="B154">
        <f>317+289</f>
        <v>606</v>
      </c>
      <c r="C154" t="s">
        <v>47</v>
      </c>
      <c r="D154" s="3">
        <v>1730</v>
      </c>
      <c r="E154" s="1">
        <v>40858</v>
      </c>
      <c r="F154" s="3">
        <f>B154/27</f>
        <v>22.444444444444443</v>
      </c>
      <c r="G154" s="2" t="s">
        <v>79</v>
      </c>
    </row>
    <row r="155" spans="1:7">
      <c r="A155" t="s">
        <v>50</v>
      </c>
      <c r="B155">
        <f>8+4</f>
        <v>12</v>
      </c>
      <c r="C155" t="s">
        <v>49</v>
      </c>
      <c r="D155" s="3">
        <v>1730</v>
      </c>
      <c r="E155" s="1">
        <v>40858</v>
      </c>
      <c r="F155" s="3">
        <f>B155/0.5</f>
        <v>24</v>
      </c>
      <c r="G155" s="2" t="s">
        <v>108</v>
      </c>
    </row>
    <row r="156" spans="1:7">
      <c r="A156" t="s">
        <v>50</v>
      </c>
      <c r="B156">
        <f>58+55</f>
        <v>113</v>
      </c>
      <c r="C156" t="s">
        <v>48</v>
      </c>
      <c r="D156" s="3">
        <v>1735</v>
      </c>
      <c r="E156" s="1">
        <v>40865</v>
      </c>
      <c r="F156" s="3">
        <f>113/14</f>
        <v>8.0714285714285712</v>
      </c>
      <c r="G156" s="2" t="s">
        <v>108</v>
      </c>
    </row>
    <row r="157" spans="1:7">
      <c r="A157" t="s">
        <v>42</v>
      </c>
      <c r="B157">
        <f>140+79+196+108</f>
        <v>523</v>
      </c>
      <c r="C157" t="s">
        <v>57</v>
      </c>
      <c r="D157" s="3">
        <v>1730</v>
      </c>
      <c r="E157" s="1">
        <v>40876</v>
      </c>
      <c r="F157" s="3">
        <f>157/7</f>
        <v>22.428571428571427</v>
      </c>
    </row>
    <row r="158" spans="1:7">
      <c r="A158" t="s">
        <v>42</v>
      </c>
      <c r="B158">
        <f>10</f>
        <v>10</v>
      </c>
      <c r="C158" t="s">
        <v>57</v>
      </c>
      <c r="D158" s="3">
        <v>1734</v>
      </c>
      <c r="E158" s="1">
        <v>40876</v>
      </c>
      <c r="F158" s="3">
        <f>158/8</f>
        <v>19.75</v>
      </c>
    </row>
    <row r="159" spans="1:7">
      <c r="A159" t="s">
        <v>42</v>
      </c>
      <c r="B159">
        <f>77</f>
        <v>77</v>
      </c>
      <c r="C159" t="s">
        <v>60</v>
      </c>
      <c r="D159" s="3">
        <v>1730</v>
      </c>
      <c r="E159" s="1">
        <v>40876</v>
      </c>
      <c r="F159" s="3">
        <f>196/8</f>
        <v>24.5</v>
      </c>
    </row>
    <row r="160" spans="1:7">
      <c r="A160" t="s">
        <v>53</v>
      </c>
      <c r="B160">
        <v>64</v>
      </c>
      <c r="C160" t="s">
        <v>57</v>
      </c>
      <c r="D160" s="3">
        <v>1730</v>
      </c>
      <c r="E160" s="1">
        <v>40879</v>
      </c>
      <c r="F160" s="3">
        <f>B160/4</f>
        <v>16</v>
      </c>
    </row>
    <row r="161" spans="1:7">
      <c r="A161" t="s">
        <v>53</v>
      </c>
      <c r="B161">
        <v>72</v>
      </c>
      <c r="C161" t="s">
        <v>57</v>
      </c>
      <c r="D161" s="3">
        <v>1734</v>
      </c>
      <c r="E161" s="1">
        <v>40879</v>
      </c>
      <c r="F161" s="3">
        <f>B161/4</f>
        <v>18</v>
      </c>
    </row>
    <row r="162" spans="1:7">
      <c r="A162" t="s">
        <v>58</v>
      </c>
      <c r="B162">
        <f>8+1</f>
        <v>9</v>
      </c>
      <c r="C162" t="s">
        <v>59</v>
      </c>
      <c r="D162" s="3">
        <v>1735</v>
      </c>
      <c r="E162" s="1">
        <v>40882</v>
      </c>
      <c r="F162" s="3">
        <f>B162/1.5</f>
        <v>6</v>
      </c>
      <c r="G162" s="2" t="s">
        <v>80</v>
      </c>
    </row>
    <row r="163" spans="1:7">
      <c r="A163" t="s">
        <v>23</v>
      </c>
      <c r="B163">
        <v>36</v>
      </c>
      <c r="C163" t="s">
        <v>57</v>
      </c>
      <c r="D163" s="3">
        <v>1734</v>
      </c>
      <c r="E163" s="1">
        <v>40882</v>
      </c>
      <c r="F163" s="3">
        <f>B163/3</f>
        <v>12</v>
      </c>
      <c r="G163" s="2" t="s">
        <v>195</v>
      </c>
    </row>
    <row r="164" spans="1:7">
      <c r="A164" t="s">
        <v>93</v>
      </c>
      <c r="B164">
        <v>12</v>
      </c>
      <c r="C164" t="s">
        <v>95</v>
      </c>
      <c r="D164" s="3">
        <v>1728</v>
      </c>
      <c r="E164" s="1">
        <v>40882</v>
      </c>
      <c r="F164" s="3">
        <f>B164/3</f>
        <v>4</v>
      </c>
      <c r="G164" s="2" t="s">
        <v>195</v>
      </c>
    </row>
    <row r="165" spans="1:7">
      <c r="A165" t="s">
        <v>62</v>
      </c>
      <c r="B165">
        <f>8+4+11+22+43</f>
        <v>88</v>
      </c>
      <c r="C165" t="s">
        <v>55</v>
      </c>
      <c r="D165" s="3">
        <v>1730</v>
      </c>
      <c r="E165" s="1">
        <v>40882</v>
      </c>
      <c r="F165" s="3">
        <f>B165/8</f>
        <v>11</v>
      </c>
      <c r="G165" s="2" t="s">
        <v>195</v>
      </c>
    </row>
    <row r="166" spans="1:7">
      <c r="A166" t="s">
        <v>62</v>
      </c>
      <c r="B166">
        <f>18+8+4</f>
        <v>30</v>
      </c>
      <c r="C166" t="s">
        <v>55</v>
      </c>
      <c r="D166" s="3">
        <v>1734</v>
      </c>
      <c r="E166" s="1">
        <v>40882</v>
      </c>
      <c r="F166" s="3">
        <f>B166/3</f>
        <v>10</v>
      </c>
      <c r="G166" s="2" t="s">
        <v>195</v>
      </c>
    </row>
    <row r="167" spans="1:7">
      <c r="A167" t="s">
        <v>62</v>
      </c>
      <c r="B167">
        <f>4+8+50</f>
        <v>62</v>
      </c>
      <c r="C167" t="s">
        <v>56</v>
      </c>
      <c r="D167" s="3">
        <v>1730</v>
      </c>
      <c r="E167" s="1">
        <v>40882</v>
      </c>
      <c r="F167" s="3">
        <f>B167/6</f>
        <v>10.333333333333334</v>
      </c>
      <c r="G167" s="2" t="s">
        <v>195</v>
      </c>
    </row>
    <row r="168" spans="1:7">
      <c r="A168" t="s">
        <v>62</v>
      </c>
      <c r="B168">
        <f>79+1+153+160+19+31+12</f>
        <v>455</v>
      </c>
      <c r="C168" t="s">
        <v>57</v>
      </c>
      <c r="D168" s="3">
        <v>1730</v>
      </c>
      <c r="E168" s="1">
        <v>40882</v>
      </c>
      <c r="F168" s="3">
        <f>B168/40</f>
        <v>11.375</v>
      </c>
      <c r="G168" s="2" t="s">
        <v>195</v>
      </c>
    </row>
    <row r="169" spans="1:7">
      <c r="A169" t="s">
        <v>62</v>
      </c>
      <c r="B169">
        <f>8+21</f>
        <v>29</v>
      </c>
      <c r="C169" t="s">
        <v>67</v>
      </c>
      <c r="D169" s="3">
        <v>1730</v>
      </c>
      <c r="E169" s="1">
        <v>40882</v>
      </c>
      <c r="F169" s="3">
        <f>B169/3</f>
        <v>9.6666666666666661</v>
      </c>
      <c r="G169" s="2" t="s">
        <v>195</v>
      </c>
    </row>
    <row r="170" spans="1:7">
      <c r="A170" t="s">
        <v>62</v>
      </c>
      <c r="B170">
        <f>1</f>
        <v>1</v>
      </c>
      <c r="C170" t="s">
        <v>191</v>
      </c>
      <c r="E170" s="1">
        <v>40882</v>
      </c>
      <c r="F170" s="3">
        <f>B170/3</f>
        <v>0.33333333333333331</v>
      </c>
      <c r="G170" s="2" t="s">
        <v>195</v>
      </c>
    </row>
    <row r="171" spans="1:7">
      <c r="A171" t="s">
        <v>52</v>
      </c>
      <c r="B171">
        <f>4+6+2</f>
        <v>12</v>
      </c>
      <c r="C171" t="s">
        <v>63</v>
      </c>
      <c r="D171" s="3">
        <v>1734</v>
      </c>
      <c r="E171" s="1">
        <v>40883</v>
      </c>
      <c r="F171" s="3">
        <f>B171/1</f>
        <v>12</v>
      </c>
    </row>
    <row r="172" spans="1:7">
      <c r="A172" t="s">
        <v>52</v>
      </c>
      <c r="B172">
        <v>2</v>
      </c>
      <c r="C172" t="s">
        <v>64</v>
      </c>
      <c r="D172" s="3">
        <v>1730</v>
      </c>
      <c r="E172" s="1">
        <v>40883</v>
      </c>
      <c r="F172" s="3">
        <f>B172/0.2</f>
        <v>10</v>
      </c>
    </row>
    <row r="173" spans="1:7">
      <c r="A173" t="s">
        <v>52</v>
      </c>
      <c r="B173">
        <f>91+43+22</f>
        <v>156</v>
      </c>
      <c r="C173" t="s">
        <v>60</v>
      </c>
      <c r="D173" s="3">
        <v>1730</v>
      </c>
      <c r="E173" s="1">
        <v>40883</v>
      </c>
      <c r="F173" s="3">
        <f>B173/12</f>
        <v>13</v>
      </c>
    </row>
    <row r="174" spans="1:7">
      <c r="A174" t="s">
        <v>52</v>
      </c>
      <c r="B174">
        <v>4</v>
      </c>
      <c r="C174" t="s">
        <v>60</v>
      </c>
      <c r="D174" s="3">
        <v>1734</v>
      </c>
      <c r="E174" s="1">
        <v>40883</v>
      </c>
      <c r="F174" s="3">
        <f>B174/0.33</f>
        <v>12.121212121212121</v>
      </c>
    </row>
    <row r="175" spans="1:7">
      <c r="A175" t="s">
        <v>52</v>
      </c>
      <c r="B175">
        <f>85+64</f>
        <v>149</v>
      </c>
      <c r="C175" t="s">
        <v>57</v>
      </c>
      <c r="D175" s="3">
        <v>1730</v>
      </c>
      <c r="E175" s="1">
        <v>40883</v>
      </c>
      <c r="F175" s="3">
        <f>B175/15</f>
        <v>9.9333333333333336</v>
      </c>
    </row>
    <row r="176" spans="1:7" ht="15" hidden="1" customHeight="1">
      <c r="A176" t="s">
        <v>187</v>
      </c>
      <c r="B176">
        <f>53+68+1</f>
        <v>122</v>
      </c>
      <c r="C176" t="s">
        <v>57</v>
      </c>
      <c r="D176" s="3">
        <v>1730</v>
      </c>
      <c r="E176" s="1">
        <v>40883</v>
      </c>
      <c r="F176" s="3">
        <f>B176/3</f>
        <v>40.666666666666664</v>
      </c>
      <c r="G176" s="2" t="s">
        <v>195</v>
      </c>
    </row>
    <row r="177" spans="1:7" ht="15" hidden="1" customHeight="1">
      <c r="A177" t="s">
        <v>187</v>
      </c>
      <c r="B177">
        <v>51</v>
      </c>
      <c r="C177" t="s">
        <v>57</v>
      </c>
      <c r="D177" s="3">
        <v>1734</v>
      </c>
      <c r="E177" s="1">
        <v>40883</v>
      </c>
      <c r="F177" s="3">
        <f>B177/3</f>
        <v>17</v>
      </c>
      <c r="G177" s="2" t="s">
        <v>195</v>
      </c>
    </row>
    <row r="178" spans="1:7" ht="15" customHeight="1">
      <c r="A178" t="s">
        <v>188</v>
      </c>
      <c r="B178">
        <f>64</f>
        <v>64</v>
      </c>
      <c r="C178" t="s">
        <v>189</v>
      </c>
      <c r="D178" s="3">
        <v>1734</v>
      </c>
      <c r="E178" s="1">
        <v>40883</v>
      </c>
      <c r="F178" s="3">
        <f>B178/3</f>
        <v>21.333333333333332</v>
      </c>
      <c r="G178" s="2" t="s">
        <v>195</v>
      </c>
    </row>
    <row r="179" spans="1:7">
      <c r="A179" t="s">
        <v>188</v>
      </c>
      <c r="B179">
        <f>26</f>
        <v>26</v>
      </c>
      <c r="C179" t="s">
        <v>60</v>
      </c>
      <c r="D179" s="3">
        <v>1734</v>
      </c>
      <c r="E179" s="1">
        <v>40883</v>
      </c>
      <c r="F179" s="3">
        <f>B179/3</f>
        <v>8.6666666666666661</v>
      </c>
      <c r="G179" s="2" t="s">
        <v>195</v>
      </c>
    </row>
    <row r="180" spans="1:7">
      <c r="A180" t="s">
        <v>188</v>
      </c>
      <c r="B180">
        <v>14</v>
      </c>
      <c r="C180" t="s">
        <v>190</v>
      </c>
      <c r="D180" s="3">
        <v>1734</v>
      </c>
      <c r="E180" s="1">
        <v>40883</v>
      </c>
      <c r="F180" s="3">
        <f>B180/3</f>
        <v>4.666666666666667</v>
      </c>
      <c r="G180" s="2" t="s">
        <v>195</v>
      </c>
    </row>
    <row r="181" spans="1:7">
      <c r="A181" t="s">
        <v>138</v>
      </c>
      <c r="B181">
        <f>3</f>
        <v>3</v>
      </c>
      <c r="C181" t="s">
        <v>192</v>
      </c>
      <c r="D181" s="3">
        <v>2049</v>
      </c>
      <c r="E181" s="1">
        <v>40883</v>
      </c>
      <c r="F181" s="3">
        <f>B181/1</f>
        <v>3</v>
      </c>
      <c r="G181" s="2" t="s">
        <v>195</v>
      </c>
    </row>
    <row r="182" spans="1:7">
      <c r="A182" t="s">
        <v>138</v>
      </c>
      <c r="B182">
        <f>38+1</f>
        <v>39</v>
      </c>
      <c r="C182" t="s">
        <v>54</v>
      </c>
      <c r="D182" s="3">
        <v>1734</v>
      </c>
      <c r="E182" s="1">
        <v>40883</v>
      </c>
      <c r="F182" s="3">
        <f>B182/7</f>
        <v>5.5714285714285712</v>
      </c>
      <c r="G182" s="2" t="s">
        <v>195</v>
      </c>
    </row>
    <row r="183" spans="1:7">
      <c r="A183" t="s">
        <v>138</v>
      </c>
      <c r="B183">
        <v>2</v>
      </c>
      <c r="C183" t="s">
        <v>54</v>
      </c>
      <c r="D183" s="3">
        <v>1735</v>
      </c>
      <c r="E183" s="1">
        <v>40883</v>
      </c>
      <c r="F183" s="3">
        <f>B183/0.2</f>
        <v>10</v>
      </c>
      <c r="G183" s="2" t="s">
        <v>195</v>
      </c>
    </row>
  </sheetData>
  <sortState ref="A2:G183">
    <sortCondition ref="E1"/>
  </sortState>
  <phoneticPr fontId="2" type="noConversion"/>
  <pageMargins left="0.25" right="0.25" top="0.25" bottom="0.25" header="0.3" footer="0.3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99"/>
  <sheetViews>
    <sheetView tabSelected="1" workbookViewId="0">
      <pane ySplit="1" topLeftCell="A33" activePane="bottomLeft" state="frozen"/>
      <selection pane="bottomLeft" activeCell="G54" sqref="G54"/>
    </sheetView>
  </sheetViews>
  <sheetFormatPr defaultRowHeight="15"/>
  <cols>
    <col min="1" max="1" width="34.28515625" customWidth="1"/>
    <col min="2" max="2" width="5.140625" customWidth="1"/>
    <col min="3" max="3" width="26.7109375" customWidth="1"/>
    <col min="4" max="4" width="9.42578125" style="3" customWidth="1"/>
    <col min="5" max="5" width="10.85546875" style="1" customWidth="1"/>
    <col min="6" max="6" width="10.5703125" style="3" customWidth="1"/>
    <col min="7" max="7" width="39.42578125" style="2" customWidth="1"/>
  </cols>
  <sheetData>
    <row r="1" spans="1:7">
      <c r="A1" t="s">
        <v>0</v>
      </c>
      <c r="B1" t="s">
        <v>51</v>
      </c>
      <c r="C1" t="s">
        <v>9</v>
      </c>
      <c r="D1" s="3" t="s">
        <v>61</v>
      </c>
      <c r="E1" s="1" t="s">
        <v>16</v>
      </c>
      <c r="F1" s="3" t="s">
        <v>15</v>
      </c>
      <c r="G1" s="2" t="s">
        <v>4</v>
      </c>
    </row>
    <row r="2" spans="1:7">
      <c r="A2" t="s">
        <v>220</v>
      </c>
      <c r="B2">
        <f>53</f>
        <v>53</v>
      </c>
      <c r="C2" t="s">
        <v>221</v>
      </c>
      <c r="D2" s="3">
        <v>1735</v>
      </c>
      <c r="E2" s="1">
        <v>40912</v>
      </c>
      <c r="F2" s="3">
        <f>B2/2</f>
        <v>26.5</v>
      </c>
      <c r="G2" s="2" t="s">
        <v>195</v>
      </c>
    </row>
    <row r="3" spans="1:7">
      <c r="A3" t="s">
        <v>187</v>
      </c>
      <c r="B3">
        <f>51</f>
        <v>51</v>
      </c>
      <c r="C3" t="s">
        <v>57</v>
      </c>
      <c r="D3" s="3">
        <v>1734</v>
      </c>
      <c r="E3" s="1">
        <v>40917</v>
      </c>
      <c r="F3" s="3">
        <f>B3/1</f>
        <v>51</v>
      </c>
      <c r="G3" s="2" t="s">
        <v>195</v>
      </c>
    </row>
    <row r="4" spans="1:7">
      <c r="A4" t="s">
        <v>187</v>
      </c>
      <c r="B4">
        <f>53+68+1</f>
        <v>122</v>
      </c>
      <c r="C4" t="s">
        <v>57</v>
      </c>
      <c r="D4" s="3">
        <v>1730</v>
      </c>
      <c r="E4" s="1">
        <v>40917</v>
      </c>
      <c r="F4" s="3">
        <f>B4/1</f>
        <v>122</v>
      </c>
      <c r="G4" s="2" t="s">
        <v>195</v>
      </c>
    </row>
    <row r="5" spans="1:7">
      <c r="A5" t="s">
        <v>222</v>
      </c>
      <c r="B5">
        <f>46+67+6+6+4</f>
        <v>129</v>
      </c>
      <c r="C5" t="s">
        <v>117</v>
      </c>
      <c r="D5" s="3">
        <v>1735</v>
      </c>
      <c r="E5" s="1">
        <v>40921</v>
      </c>
      <c r="F5" s="3">
        <f>B5/22</f>
        <v>5.8636363636363633</v>
      </c>
      <c r="G5" s="2" t="s">
        <v>195</v>
      </c>
    </row>
    <row r="6" spans="1:7">
      <c r="A6" t="s">
        <v>222</v>
      </c>
      <c r="B6">
        <f>6</f>
        <v>6</v>
      </c>
      <c r="C6" t="s">
        <v>54</v>
      </c>
      <c r="D6" s="3">
        <v>1734</v>
      </c>
      <c r="E6" s="1">
        <v>40921</v>
      </c>
      <c r="F6" s="3">
        <f>B6/1</f>
        <v>6</v>
      </c>
      <c r="G6" s="2" t="s">
        <v>195</v>
      </c>
    </row>
    <row r="7" spans="1:7">
      <c r="A7" t="s">
        <v>222</v>
      </c>
      <c r="B7">
        <f>2</f>
        <v>2</v>
      </c>
      <c r="C7" t="s">
        <v>94</v>
      </c>
      <c r="D7" s="3">
        <v>7135</v>
      </c>
      <c r="E7" s="1">
        <v>40921</v>
      </c>
      <c r="F7" s="3">
        <f>B7/1</f>
        <v>2</v>
      </c>
      <c r="G7" s="2" t="s">
        <v>195</v>
      </c>
    </row>
    <row r="8" spans="1:7">
      <c r="A8" t="s">
        <v>222</v>
      </c>
      <c r="B8">
        <f>5+5</f>
        <v>10</v>
      </c>
      <c r="C8" t="s">
        <v>54</v>
      </c>
      <c r="D8" s="3">
        <v>1735</v>
      </c>
      <c r="E8" s="1">
        <v>40921</v>
      </c>
      <c r="F8" s="3">
        <f>B8/2</f>
        <v>5</v>
      </c>
      <c r="G8" s="2" t="s">
        <v>195</v>
      </c>
    </row>
    <row r="9" spans="1:7">
      <c r="A9" t="s">
        <v>45</v>
      </c>
      <c r="B9">
        <f>25+96+37+1+41+78+2+9+20</f>
        <v>309</v>
      </c>
      <c r="C9" t="s">
        <v>196</v>
      </c>
      <c r="D9" s="3">
        <v>1732</v>
      </c>
      <c r="E9" s="1">
        <v>40937</v>
      </c>
      <c r="F9" s="3">
        <f>B9/28</f>
        <v>11.035714285714286</v>
      </c>
      <c r="G9" s="2" t="s">
        <v>195</v>
      </c>
    </row>
    <row r="10" spans="1:7">
      <c r="A10" t="s">
        <v>45</v>
      </c>
      <c r="B10">
        <f>8+14+10+12+12+2+10+4+12+6</f>
        <v>90</v>
      </c>
      <c r="C10" t="s">
        <v>192</v>
      </c>
      <c r="D10" s="3">
        <v>2049</v>
      </c>
      <c r="E10" s="1">
        <v>40937</v>
      </c>
      <c r="F10" s="3">
        <f>B10/12</f>
        <v>7.5</v>
      </c>
      <c r="G10" s="2" t="s">
        <v>195</v>
      </c>
    </row>
    <row r="11" spans="1:7">
      <c r="A11" t="s">
        <v>45</v>
      </c>
      <c r="B11">
        <f>14+41+3</f>
        <v>58</v>
      </c>
      <c r="C11" t="s">
        <v>57</v>
      </c>
      <c r="D11" s="3">
        <v>1730</v>
      </c>
      <c r="E11" s="1">
        <v>40937</v>
      </c>
      <c r="F11" s="3">
        <f>B11/3</f>
        <v>19.333333333333332</v>
      </c>
      <c r="G11" s="2" t="s">
        <v>195</v>
      </c>
    </row>
    <row r="12" spans="1:7">
      <c r="A12" t="s">
        <v>45</v>
      </c>
      <c r="B12">
        <f>15</f>
        <v>15</v>
      </c>
      <c r="C12" t="s">
        <v>57</v>
      </c>
      <c r="D12" s="3">
        <v>1734</v>
      </c>
      <c r="E12" s="1">
        <v>40937</v>
      </c>
      <c r="F12" s="3">
        <f>B12/1</f>
        <v>15</v>
      </c>
      <c r="G12" s="2" t="s">
        <v>195</v>
      </c>
    </row>
    <row r="13" spans="1:7">
      <c r="A13" t="s">
        <v>45</v>
      </c>
      <c r="B13">
        <f>9+3+41+12+2</f>
        <v>67</v>
      </c>
      <c r="C13" t="s">
        <v>60</v>
      </c>
      <c r="D13" s="3">
        <v>1730</v>
      </c>
      <c r="E13" s="1">
        <v>40937</v>
      </c>
      <c r="F13" s="3">
        <f>B13/5</f>
        <v>13.4</v>
      </c>
      <c r="G13" s="2" t="s">
        <v>195</v>
      </c>
    </row>
    <row r="14" spans="1:7">
      <c r="A14" t="s">
        <v>45</v>
      </c>
      <c r="B14">
        <f>10</f>
        <v>10</v>
      </c>
      <c r="C14" t="s">
        <v>60</v>
      </c>
      <c r="D14" s="3">
        <v>1734</v>
      </c>
      <c r="E14" s="1">
        <v>40937</v>
      </c>
      <c r="F14" s="3">
        <f>B14/1</f>
        <v>10</v>
      </c>
      <c r="G14" s="2" t="s">
        <v>195</v>
      </c>
    </row>
    <row r="15" spans="1:7">
      <c r="A15" t="s">
        <v>45</v>
      </c>
      <c r="B15">
        <f>8+2+12</f>
        <v>22</v>
      </c>
      <c r="C15" t="s">
        <v>92</v>
      </c>
      <c r="D15" s="3">
        <v>1734</v>
      </c>
      <c r="E15" s="1">
        <v>40937</v>
      </c>
      <c r="F15" s="3">
        <f>B15/5</f>
        <v>4.4000000000000004</v>
      </c>
      <c r="G15" s="2" t="s">
        <v>195</v>
      </c>
    </row>
    <row r="16" spans="1:7">
      <c r="A16" t="s">
        <v>45</v>
      </c>
      <c r="B16">
        <f>13+4</f>
        <v>17</v>
      </c>
      <c r="C16" t="s">
        <v>119</v>
      </c>
      <c r="D16" s="3">
        <v>1734</v>
      </c>
      <c r="E16" s="1">
        <v>40937</v>
      </c>
      <c r="F16" s="3">
        <f>B16/3</f>
        <v>5.666666666666667</v>
      </c>
      <c r="G16" s="2" t="s">
        <v>195</v>
      </c>
    </row>
    <row r="17" spans="1:7">
      <c r="A17" t="s">
        <v>204</v>
      </c>
      <c r="B17">
        <f>12+4+13</f>
        <v>29</v>
      </c>
      <c r="C17" t="s">
        <v>199</v>
      </c>
      <c r="D17" s="3">
        <v>1734</v>
      </c>
      <c r="E17" s="1">
        <v>40940</v>
      </c>
      <c r="F17" s="3">
        <f>B17/5</f>
        <v>5.8</v>
      </c>
      <c r="G17" s="2" t="s">
        <v>195</v>
      </c>
    </row>
    <row r="18" spans="1:7">
      <c r="A18" t="s">
        <v>204</v>
      </c>
      <c r="B18">
        <f>1+1</f>
        <v>2</v>
      </c>
      <c r="C18" t="s">
        <v>111</v>
      </c>
      <c r="D18" s="3">
        <v>1728</v>
      </c>
      <c r="E18" s="1">
        <v>40940</v>
      </c>
      <c r="F18" s="3">
        <f>B18/5</f>
        <v>0.4</v>
      </c>
      <c r="G18" s="2" t="s">
        <v>195</v>
      </c>
    </row>
    <row r="19" spans="1:7">
      <c r="A19" t="s">
        <v>204</v>
      </c>
      <c r="B19">
        <f>18+32</f>
        <v>50</v>
      </c>
      <c r="C19" t="s">
        <v>57</v>
      </c>
      <c r="D19" s="3">
        <v>1730</v>
      </c>
      <c r="E19" s="1">
        <v>40940</v>
      </c>
      <c r="F19" s="3">
        <f>B19/3</f>
        <v>16.666666666666668</v>
      </c>
      <c r="G19" s="2" t="s">
        <v>195</v>
      </c>
    </row>
    <row r="20" spans="1:7">
      <c r="A20" t="s">
        <v>204</v>
      </c>
      <c r="B20">
        <f>2+4</f>
        <v>6</v>
      </c>
      <c r="C20" t="s">
        <v>203</v>
      </c>
      <c r="D20" s="3">
        <v>1730</v>
      </c>
      <c r="E20" s="1">
        <v>40940</v>
      </c>
      <c r="F20" s="3">
        <f>B20/0.25</f>
        <v>24</v>
      </c>
      <c r="G20" s="2" t="s">
        <v>195</v>
      </c>
    </row>
    <row r="21" spans="1:7">
      <c r="A21" t="s">
        <v>194</v>
      </c>
      <c r="B21">
        <f>80+67+64+64+14</f>
        <v>289</v>
      </c>
      <c r="C21" t="s">
        <v>193</v>
      </c>
      <c r="D21" s="3">
        <v>1730</v>
      </c>
      <c r="E21" s="1">
        <v>40941</v>
      </c>
      <c r="F21" s="3">
        <f>B21/3</f>
        <v>96.333333333333329</v>
      </c>
      <c r="G21" s="2" t="s">
        <v>195</v>
      </c>
    </row>
    <row r="22" spans="1:7">
      <c r="A22" t="s">
        <v>194</v>
      </c>
      <c r="B22">
        <f>81+64+127+97+45+35+54+11</f>
        <v>514</v>
      </c>
      <c r="C22" t="s">
        <v>193</v>
      </c>
      <c r="D22" s="3">
        <v>1734</v>
      </c>
      <c r="E22" s="1">
        <v>40941</v>
      </c>
      <c r="F22" s="3">
        <f>B22/5</f>
        <v>102.8</v>
      </c>
      <c r="G22" s="2" t="s">
        <v>195</v>
      </c>
    </row>
    <row r="23" spans="1:7">
      <c r="A23" t="s">
        <v>194</v>
      </c>
      <c r="B23">
        <f>8</f>
        <v>8</v>
      </c>
      <c r="C23" t="s">
        <v>197</v>
      </c>
      <c r="D23" s="3">
        <v>1735</v>
      </c>
      <c r="E23" s="1">
        <v>40941</v>
      </c>
      <c r="F23" s="3">
        <f>B23/5</f>
        <v>1.6</v>
      </c>
      <c r="G23" s="2" t="s">
        <v>195</v>
      </c>
    </row>
    <row r="24" spans="1:7">
      <c r="A24" t="s">
        <v>194</v>
      </c>
      <c r="B24">
        <f>14+12+14+54+25+19+24+41</f>
        <v>203</v>
      </c>
      <c r="C24" t="s">
        <v>198</v>
      </c>
      <c r="D24" s="3">
        <v>1734</v>
      </c>
      <c r="E24" s="1">
        <v>40941</v>
      </c>
      <c r="F24" s="3">
        <f>B24/5</f>
        <v>40.6</v>
      </c>
      <c r="G24" s="2" t="s">
        <v>195</v>
      </c>
    </row>
    <row r="25" spans="1:7">
      <c r="A25" t="s">
        <v>194</v>
      </c>
      <c r="B25">
        <f>5+9+3</f>
        <v>17</v>
      </c>
      <c r="C25" t="s">
        <v>198</v>
      </c>
      <c r="D25" s="3">
        <v>1735</v>
      </c>
      <c r="E25" s="1">
        <v>40941</v>
      </c>
      <c r="F25" s="3">
        <f>B25/5</f>
        <v>3.4</v>
      </c>
      <c r="G25" s="2" t="s">
        <v>195</v>
      </c>
    </row>
    <row r="26" spans="1:7">
      <c r="A26" t="s">
        <v>194</v>
      </c>
      <c r="B26">
        <f>9</f>
        <v>9</v>
      </c>
      <c r="C26" t="s">
        <v>200</v>
      </c>
      <c r="D26" s="3">
        <v>1728</v>
      </c>
      <c r="E26" s="1">
        <v>40941</v>
      </c>
      <c r="F26" s="3">
        <f>B26/5</f>
        <v>1.8</v>
      </c>
      <c r="G26" s="2" t="s">
        <v>195</v>
      </c>
    </row>
    <row r="27" spans="1:7">
      <c r="A27" t="s">
        <v>194</v>
      </c>
      <c r="B27">
        <f>9+3+13</f>
        <v>25</v>
      </c>
      <c r="C27" t="s">
        <v>200</v>
      </c>
      <c r="D27" s="3">
        <v>1734</v>
      </c>
      <c r="E27" s="1">
        <v>40941</v>
      </c>
      <c r="F27" s="3">
        <f>B27/5</f>
        <v>5</v>
      </c>
      <c r="G27" s="2" t="s">
        <v>195</v>
      </c>
    </row>
    <row r="28" spans="1:7">
      <c r="A28" t="s">
        <v>194</v>
      </c>
      <c r="B28">
        <f>4</f>
        <v>4</v>
      </c>
      <c r="C28" t="s">
        <v>201</v>
      </c>
      <c r="D28" s="3">
        <v>1735</v>
      </c>
      <c r="E28" s="1">
        <v>40941</v>
      </c>
      <c r="F28" s="3">
        <f>B28/5</f>
        <v>0.8</v>
      </c>
      <c r="G28" s="2" t="s">
        <v>195</v>
      </c>
    </row>
    <row r="29" spans="1:7">
      <c r="A29" t="s">
        <v>194</v>
      </c>
      <c r="B29">
        <f>13+4+2+4+10+12</f>
        <v>45</v>
      </c>
      <c r="C29" t="s">
        <v>202</v>
      </c>
      <c r="D29" s="3">
        <v>2049</v>
      </c>
      <c r="E29" s="1">
        <v>40941</v>
      </c>
      <c r="F29" s="3">
        <f>B29/5</f>
        <v>9</v>
      </c>
      <c r="G29" s="2" t="s">
        <v>195</v>
      </c>
    </row>
    <row r="30" spans="1:7">
      <c r="A30" t="s">
        <v>90</v>
      </c>
      <c r="B30">
        <f>4</f>
        <v>4</v>
      </c>
      <c r="C30" t="s">
        <v>117</v>
      </c>
      <c r="D30" s="3">
        <v>1734</v>
      </c>
      <c r="E30" s="1">
        <v>40942</v>
      </c>
      <c r="G30" s="2" t="s">
        <v>195</v>
      </c>
    </row>
    <row r="31" spans="1:7">
      <c r="A31" t="s">
        <v>43</v>
      </c>
      <c r="C31" t="s">
        <v>65</v>
      </c>
      <c r="G31" s="2" t="s">
        <v>66</v>
      </c>
    </row>
    <row r="32" spans="1:7">
      <c r="A32" t="s">
        <v>223</v>
      </c>
      <c r="B32">
        <f>1+6+1</f>
        <v>8</v>
      </c>
      <c r="C32" t="s">
        <v>208</v>
      </c>
      <c r="D32" s="3">
        <v>1734</v>
      </c>
      <c r="E32" s="1">
        <v>40945</v>
      </c>
      <c r="F32" s="3">
        <f>B32/1</f>
        <v>8</v>
      </c>
      <c r="G32" s="2" t="s">
        <v>212</v>
      </c>
    </row>
    <row r="33" spans="1:7">
      <c r="A33" t="s">
        <v>223</v>
      </c>
      <c r="B33">
        <f>13+13</f>
        <v>26</v>
      </c>
      <c r="C33" t="s">
        <v>208</v>
      </c>
      <c r="D33" s="3">
        <v>1735</v>
      </c>
      <c r="E33" s="1">
        <v>40945</v>
      </c>
      <c r="F33" s="3">
        <f>B33/3</f>
        <v>8.6666666666666661</v>
      </c>
    </row>
    <row r="34" spans="1:7">
      <c r="A34" t="s">
        <v>223</v>
      </c>
      <c r="B34">
        <f>6+10+27</f>
        <v>43</v>
      </c>
      <c r="C34" t="s">
        <v>207</v>
      </c>
      <c r="D34" s="3">
        <v>1735</v>
      </c>
      <c r="E34" s="1">
        <v>40945</v>
      </c>
      <c r="F34" s="3">
        <f>B34/4</f>
        <v>10.75</v>
      </c>
      <c r="G34" s="2" t="s">
        <v>213</v>
      </c>
    </row>
    <row r="35" spans="1:7">
      <c r="A35" t="s">
        <v>224</v>
      </c>
      <c r="B35">
        <f>10</f>
        <v>10</v>
      </c>
      <c r="C35" t="s">
        <v>206</v>
      </c>
      <c r="D35" s="3">
        <v>1734</v>
      </c>
      <c r="E35" s="1">
        <v>40942</v>
      </c>
      <c r="F35" s="3">
        <f>B35/1</f>
        <v>10</v>
      </c>
      <c r="G35" s="2" t="s">
        <v>195</v>
      </c>
    </row>
    <row r="36" spans="1:7">
      <c r="A36" t="s">
        <v>224</v>
      </c>
      <c r="B36">
        <f>10+5</f>
        <v>15</v>
      </c>
      <c r="C36" t="s">
        <v>206</v>
      </c>
      <c r="D36" s="3">
        <v>1735</v>
      </c>
      <c r="E36" s="1">
        <v>40942</v>
      </c>
      <c r="F36" s="3">
        <f>B36/2.5</f>
        <v>6</v>
      </c>
      <c r="G36" s="2" t="s">
        <v>195</v>
      </c>
    </row>
    <row r="37" spans="1:7">
      <c r="A37" t="s">
        <v>224</v>
      </c>
      <c r="B37">
        <f>20+10+26</f>
        <v>56</v>
      </c>
      <c r="C37" t="s">
        <v>205</v>
      </c>
      <c r="D37" s="3">
        <v>1734</v>
      </c>
      <c r="E37" s="1">
        <v>40942</v>
      </c>
      <c r="F37" s="3">
        <f>B37/6</f>
        <v>9.3333333333333339</v>
      </c>
      <c r="G37" s="2" t="s">
        <v>195</v>
      </c>
    </row>
    <row r="38" spans="1:7">
      <c r="A38" t="s">
        <v>209</v>
      </c>
      <c r="B38">
        <f>4</f>
        <v>4</v>
      </c>
      <c r="C38" t="s">
        <v>215</v>
      </c>
      <c r="D38" s="3">
        <v>1730</v>
      </c>
      <c r="E38" s="1">
        <v>40948</v>
      </c>
      <c r="F38" s="3">
        <f>B38/0.5</f>
        <v>8</v>
      </c>
      <c r="G38" s="2" t="s">
        <v>195</v>
      </c>
    </row>
    <row r="39" spans="1:7">
      <c r="A39" t="s">
        <v>209</v>
      </c>
      <c r="B39">
        <f>48+60+74+36+40</f>
        <v>258</v>
      </c>
      <c r="C39" t="s">
        <v>57</v>
      </c>
      <c r="D39" s="3">
        <v>1730</v>
      </c>
      <c r="E39" s="1">
        <v>40948</v>
      </c>
      <c r="F39" s="3">
        <f>B39/18</f>
        <v>14.333333333333334</v>
      </c>
      <c r="G39" s="2" t="s">
        <v>195</v>
      </c>
    </row>
    <row r="40" spans="1:7">
      <c r="A40" t="s">
        <v>209</v>
      </c>
      <c r="B40">
        <f>53+62+25+51+16</f>
        <v>207</v>
      </c>
      <c r="C40" t="s">
        <v>55</v>
      </c>
      <c r="D40" s="3">
        <v>1730</v>
      </c>
      <c r="E40" s="1">
        <v>40948</v>
      </c>
      <c r="F40" s="3">
        <f>B40/13</f>
        <v>15.923076923076923</v>
      </c>
      <c r="G40" s="2" t="s">
        <v>195</v>
      </c>
    </row>
    <row r="41" spans="1:7">
      <c r="A41" t="s">
        <v>209</v>
      </c>
      <c r="B41">
        <f>7+14+4+12+3</f>
        <v>40</v>
      </c>
      <c r="C41" t="s">
        <v>210</v>
      </c>
      <c r="D41" s="3">
        <v>1730</v>
      </c>
      <c r="E41" s="1">
        <v>40948</v>
      </c>
      <c r="F41" s="3">
        <f>B41/4</f>
        <v>10</v>
      </c>
      <c r="G41" s="2" t="s">
        <v>195</v>
      </c>
    </row>
    <row r="42" spans="1:7">
      <c r="A42" t="s">
        <v>209</v>
      </c>
      <c r="B42">
        <f>7+14+4+3</f>
        <v>28</v>
      </c>
      <c r="C42" t="s">
        <v>211</v>
      </c>
      <c r="D42" s="3">
        <v>1730</v>
      </c>
      <c r="E42" s="1">
        <v>40948</v>
      </c>
      <c r="F42" s="3">
        <f>B42/3</f>
        <v>9.3333333333333339</v>
      </c>
      <c r="G42" s="2" t="s">
        <v>195</v>
      </c>
    </row>
    <row r="43" spans="1:7">
      <c r="A43" t="s">
        <v>209</v>
      </c>
      <c r="B43">
        <f>18+28</f>
        <v>46</v>
      </c>
      <c r="C43" t="s">
        <v>200</v>
      </c>
      <c r="D43" s="3">
        <v>1728</v>
      </c>
      <c r="E43" s="1">
        <v>40948</v>
      </c>
      <c r="F43" s="3">
        <f>B43/3</f>
        <v>15.333333333333334</v>
      </c>
      <c r="G43" s="2" t="s">
        <v>195</v>
      </c>
    </row>
    <row r="44" spans="1:7">
      <c r="A44" t="s">
        <v>209</v>
      </c>
      <c r="B44">
        <f>10</f>
        <v>10</v>
      </c>
      <c r="C44" t="s">
        <v>111</v>
      </c>
      <c r="D44" s="3">
        <v>1728</v>
      </c>
      <c r="E44" s="1">
        <v>40948</v>
      </c>
      <c r="F44" s="3">
        <f>B44/3</f>
        <v>3.3333333333333335</v>
      </c>
      <c r="G44" s="2" t="s">
        <v>195</v>
      </c>
    </row>
    <row r="45" spans="1:7">
      <c r="A45" t="s">
        <v>216</v>
      </c>
      <c r="B45">
        <f>324+155+98+100+100+50+24+26+37+34+47</f>
        <v>995</v>
      </c>
      <c r="C45" t="s">
        <v>217</v>
      </c>
      <c r="D45" s="3">
        <v>1734</v>
      </c>
      <c r="F45" s="3">
        <f>B45/19</f>
        <v>52.368421052631582</v>
      </c>
      <c r="G45" s="2" t="s">
        <v>225</v>
      </c>
    </row>
    <row r="46" spans="1:7">
      <c r="A46" t="s">
        <v>216</v>
      </c>
      <c r="B46">
        <f>101+74+2+16</f>
        <v>193</v>
      </c>
      <c r="C46" t="s">
        <v>217</v>
      </c>
      <c r="D46" s="3">
        <v>1735</v>
      </c>
      <c r="F46" s="3">
        <f>B46/5</f>
        <v>38.6</v>
      </c>
      <c r="G46" s="2" t="s">
        <v>225</v>
      </c>
    </row>
    <row r="47" spans="1:7">
      <c r="A47" t="s">
        <v>216</v>
      </c>
      <c r="B47">
        <f>60+240+119+133+73+121+50+84+40+40+30+90+23</f>
        <v>1103</v>
      </c>
      <c r="C47" t="s">
        <v>57</v>
      </c>
      <c r="D47" s="3">
        <v>1734</v>
      </c>
      <c r="F47" s="3">
        <f>B47/9</f>
        <v>122.55555555555556</v>
      </c>
      <c r="G47" s="2" t="s">
        <v>225</v>
      </c>
    </row>
    <row r="48" spans="1:7">
      <c r="A48" t="s">
        <v>216</v>
      </c>
      <c r="B48">
        <f>150+90+176</f>
        <v>416</v>
      </c>
      <c r="C48" t="s">
        <v>57</v>
      </c>
      <c r="D48" s="3">
        <v>1730</v>
      </c>
      <c r="F48" s="3">
        <f>B48/5</f>
        <v>83.2</v>
      </c>
      <c r="G48" s="2" t="s">
        <v>225</v>
      </c>
    </row>
    <row r="49" spans="1:7">
      <c r="A49" t="s">
        <v>216</v>
      </c>
      <c r="B49">
        <f>16+10+12+10+15</f>
        <v>63</v>
      </c>
      <c r="C49" t="s">
        <v>206</v>
      </c>
      <c r="D49" s="3">
        <v>1734</v>
      </c>
      <c r="F49" s="3">
        <f>B49/6</f>
        <v>10.5</v>
      </c>
      <c r="G49" s="2" t="s">
        <v>225</v>
      </c>
    </row>
    <row r="50" spans="1:7">
      <c r="G50" s="2" t="s">
        <v>218</v>
      </c>
    </row>
    <row r="51" spans="1:7">
      <c r="G51" s="2" t="s">
        <v>219</v>
      </c>
    </row>
    <row r="52" spans="1:7">
      <c r="A52" t="s">
        <v>214</v>
      </c>
      <c r="G52" s="2" t="s">
        <v>44</v>
      </c>
    </row>
    <row r="197" ht="15" hidden="1" customHeight="1"/>
    <row r="198" ht="15" hidden="1" customHeight="1"/>
    <row r="199" ht="15" customHeight="1"/>
  </sheetData>
  <sortState ref="A2:G199">
    <sortCondition ref="E1"/>
  </sortState>
  <phoneticPr fontId="2" type="noConversion"/>
  <pageMargins left="0.7" right="0.7" top="0.75" bottom="0.75" header="0.3" footer="0.3"/>
  <ignoredErrors>
    <ignoredError sqref="F5 F13 F16 F20 B29 F4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2011</vt:lpstr>
      <vt:lpstr>2012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</dc:creator>
  <cp:lastModifiedBy>Sean Williams</cp:lastModifiedBy>
  <cp:lastPrinted>2011-12-20T16:00:28Z</cp:lastPrinted>
  <dcterms:created xsi:type="dcterms:W3CDTF">2011-11-23T14:35:25Z</dcterms:created>
  <dcterms:modified xsi:type="dcterms:W3CDTF">2012-03-26T20:11:04Z</dcterms:modified>
</cp:coreProperties>
</file>